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codeName="ThisWorkbook" defaultThemeVersion="124226"/>
  <xr:revisionPtr revIDLastSave="0" documentId="13_ncr:1_{60E9EA46-0790-4255-8604-DB3E58BEC466}" xr6:coauthVersionLast="45" xr6:coauthVersionMax="45" xr10:uidLastSave="{00000000-0000-0000-0000-000000000000}"/>
  <bookViews>
    <workbookView xWindow="28680" yWindow="-120" windowWidth="20640" windowHeight="11160" activeTab="5" xr2:uid="{00000000-000D-0000-FFFF-FFFF00000000}"/>
  </bookViews>
  <sheets>
    <sheet name="Instruccions" sheetId="5" r:id="rId1"/>
    <sheet name="Urbà" sheetId="1" r:id="rId2"/>
    <sheet name="Interurbà" sheetId="2" r:id="rId3"/>
    <sheet name="Vectors" sheetId="3" state="veryHidden" r:id="rId4"/>
    <sheet name="Produccio diària" sheetId="4" r:id="rId5"/>
    <sheet name="Emissions" sheetId="6" r:id="rId6"/>
    <sheet name="DAFO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G12" i="1"/>
  <c r="M8" i="6"/>
  <c r="M14" i="6" l="1"/>
  <c r="N14" i="6"/>
  <c r="O14" i="6"/>
  <c r="P14" i="6"/>
  <c r="Q14" i="6"/>
  <c r="M15" i="6"/>
  <c r="N15" i="6"/>
  <c r="O15" i="6"/>
  <c r="P15" i="6"/>
  <c r="Q15" i="6"/>
  <c r="N13" i="6"/>
  <c r="O13" i="6"/>
  <c r="P13" i="6"/>
  <c r="Q13" i="6"/>
  <c r="M13" i="6"/>
  <c r="C56" i="2" l="1" a="1"/>
  <c r="C56" i="2" s="1"/>
  <c r="C54" i="2" a="1"/>
  <c r="C54" i="2" s="1"/>
  <c r="C52" i="2" a="1"/>
  <c r="C52" i="2" s="1"/>
  <c r="G20" i="1"/>
  <c r="AI25" i="3" l="1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9" i="3"/>
  <c r="C28" i="3"/>
  <c r="C27" i="3"/>
  <c r="C26" i="3"/>
  <c r="C4" i="3" l="1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3" i="3"/>
  <c r="I25" i="2" a="1"/>
  <c r="H27" i="2" a="1"/>
  <c r="I29" i="2" a="1"/>
  <c r="J27" i="2" a="1"/>
  <c r="J29" i="2" a="1"/>
  <c r="G29" i="2" a="1"/>
  <c r="D27" i="2" a="1"/>
  <c r="F25" i="2" a="1"/>
  <c r="G25" i="2" a="1"/>
  <c r="F29" i="2" a="1"/>
  <c r="K25" i="2" a="1"/>
  <c r="I27" i="2" a="1"/>
  <c r="K27" i="2" a="1"/>
  <c r="C29" i="2" a="1"/>
  <c r="F27" i="2" a="1"/>
  <c r="J25" i="2" a="1"/>
  <c r="E27" i="2" a="1"/>
  <c r="D29" i="2" a="1"/>
  <c r="G27" i="2" a="1"/>
  <c r="K29" i="2" a="1"/>
  <c r="C27" i="2" a="1"/>
  <c r="E29" i="2" a="1"/>
  <c r="D25" i="2" a="1"/>
  <c r="H25" i="2" a="1"/>
  <c r="E25" i="2" a="1"/>
  <c r="H29" i="2" a="1"/>
  <c r="C25" i="2" a="1"/>
  <c r="K29" i="2" l="1"/>
  <c r="J29" i="2"/>
  <c r="I29" i="2"/>
  <c r="H29" i="2"/>
  <c r="G29" i="2"/>
  <c r="F29" i="2"/>
  <c r="E29" i="2"/>
  <c r="D29" i="2"/>
  <c r="C29" i="2"/>
  <c r="K27" i="2"/>
  <c r="J27" i="2"/>
  <c r="I27" i="2"/>
  <c r="H27" i="2"/>
  <c r="G27" i="2"/>
  <c r="F27" i="2"/>
  <c r="E27" i="2"/>
  <c r="D27" i="2"/>
  <c r="C27" i="2"/>
  <c r="K25" i="2"/>
  <c r="J25" i="2"/>
  <c r="I25" i="2"/>
  <c r="H25" i="2"/>
  <c r="G25" i="2"/>
  <c r="F25" i="2"/>
  <c r="E25" i="2"/>
  <c r="D25" i="2"/>
  <c r="C25" i="2"/>
  <c r="C24" i="2" l="1"/>
  <c r="F21" i="2"/>
  <c r="D21" i="2"/>
  <c r="G20" i="2"/>
  <c r="F19" i="2"/>
  <c r="D19" i="2"/>
  <c r="G18" i="2"/>
  <c r="F17" i="2"/>
  <c r="D17" i="2"/>
  <c r="G16" i="2"/>
  <c r="F15" i="2"/>
  <c r="D15" i="2"/>
  <c r="G14" i="2"/>
  <c r="F13" i="2"/>
  <c r="D13" i="2"/>
  <c r="G12" i="2"/>
  <c r="G14" i="1"/>
  <c r="G16" i="1"/>
  <c r="C53" i="2" a="1"/>
  <c r="N12" i="2" a="1"/>
  <c r="N16" i="2" a="1"/>
  <c r="N20" i="2" a="1"/>
  <c r="N14" i="2" a="1"/>
  <c r="C55" i="2" a="1"/>
  <c r="C55" i="2" l="1"/>
  <c r="C53" i="2"/>
  <c r="D53" i="2" s="1"/>
  <c r="N20" i="2"/>
  <c r="N14" i="2"/>
  <c r="N16" i="2"/>
  <c r="N12" i="2"/>
  <c r="F21" i="1"/>
  <c r="F19" i="1"/>
  <c r="F17" i="1"/>
  <c r="F15" i="1"/>
  <c r="F13" i="1"/>
  <c r="D21" i="1"/>
  <c r="D19" i="1"/>
  <c r="D17" i="1"/>
  <c r="D15" i="1"/>
  <c r="D13" i="1"/>
  <c r="C56" i="1" a="1"/>
  <c r="C55" i="1" a="1"/>
  <c r="C54" i="1" a="1"/>
  <c r="C53" i="1" a="1"/>
  <c r="C52" i="1" a="1"/>
  <c r="C26" i="2" a="1"/>
  <c r="C25" i="1" a="1"/>
  <c r="D26" i="2" a="1"/>
  <c r="N18" i="1" a="1"/>
  <c r="N12" i="1" a="1"/>
  <c r="D28" i="2" a="1"/>
  <c r="C29" i="1" a="1"/>
  <c r="F26" i="2" a="1"/>
  <c r="N14" i="1" a="1"/>
  <c r="C28" i="1" a="1"/>
  <c r="C28" i="2" a="1"/>
  <c r="N18" i="2" a="1"/>
  <c r="G28" i="2" a="1"/>
  <c r="J26" i="2" a="1"/>
  <c r="N20" i="1" a="1"/>
  <c r="I26" i="2" a="1"/>
  <c r="H26" i="2" a="1"/>
  <c r="J28" i="2" a="1"/>
  <c r="K28" i="2" a="1"/>
  <c r="H28" i="2" a="1"/>
  <c r="K26" i="2" a="1"/>
  <c r="F28" i="2" a="1"/>
  <c r="C26" i="1" a="1"/>
  <c r="N16" i="1" a="1"/>
  <c r="G26" i="2" a="1"/>
  <c r="C27" i="1" a="1"/>
  <c r="E26" i="2" a="1"/>
  <c r="E28" i="2" a="1"/>
  <c r="I28" i="2" a="1"/>
  <c r="N18" i="2" l="1"/>
  <c r="D26" i="3"/>
  <c r="J26" i="3"/>
  <c r="F26" i="3"/>
  <c r="K26" i="3"/>
  <c r="G26" i="3"/>
  <c r="H26" i="3"/>
  <c r="I26" i="3"/>
  <c r="E26" i="3"/>
  <c r="C56" i="1"/>
  <c r="C55" i="1"/>
  <c r="C54" i="1"/>
  <c r="C53" i="1"/>
  <c r="C52" i="1"/>
  <c r="C29" i="1"/>
  <c r="N20" i="1"/>
  <c r="C28" i="1"/>
  <c r="N18" i="1"/>
  <c r="C26" i="1"/>
  <c r="N14" i="1"/>
  <c r="C25" i="1"/>
  <c r="N16" i="1"/>
  <c r="C27" i="1"/>
  <c r="J28" i="2"/>
  <c r="I26" i="2"/>
  <c r="C28" i="2"/>
  <c r="J26" i="2"/>
  <c r="D28" i="2"/>
  <c r="K26" i="2"/>
  <c r="K28" i="2"/>
  <c r="C26" i="2"/>
  <c r="E28" i="2"/>
  <c r="D26" i="2"/>
  <c r="F28" i="2"/>
  <c r="F26" i="2"/>
  <c r="H28" i="2"/>
  <c r="G28" i="2"/>
  <c r="G26" i="2"/>
  <c r="I28" i="2"/>
  <c r="E26" i="2"/>
  <c r="H26" i="2"/>
  <c r="N12" i="1"/>
  <c r="E27" i="3" l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I27" i="3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H27" i="3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G27" i="3"/>
  <c r="G28" i="3" s="1"/>
  <c r="G29" i="3" s="1"/>
  <c r="G30" i="3" s="1"/>
  <c r="G31" i="3" s="1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K27" i="3"/>
  <c r="K28" i="3" s="1"/>
  <c r="K29" i="3" s="1"/>
  <c r="K30" i="3" s="1"/>
  <c r="K31" i="3" s="1"/>
  <c r="K32" i="3" s="1"/>
  <c r="K33" i="3" s="1"/>
  <c r="K34" i="3" s="1"/>
  <c r="K35" i="3" s="1"/>
  <c r="K36" i="3" s="1"/>
  <c r="K37" i="3" s="1"/>
  <c r="K38" i="3" s="1"/>
  <c r="K39" i="3" s="1"/>
  <c r="K40" i="3" s="1"/>
  <c r="K41" i="3" s="1"/>
  <c r="K42" i="3" s="1"/>
  <c r="K43" i="3" s="1"/>
  <c r="K44" i="3" s="1"/>
  <c r="K45" i="3" s="1"/>
  <c r="K46" i="3" s="1"/>
  <c r="F27" i="3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J27" i="3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D27" i="3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D45" i="3" s="1"/>
  <c r="D46" i="3" s="1"/>
  <c r="D55" i="1"/>
  <c r="C35" i="3"/>
  <c r="C34" i="3"/>
  <c r="C33" i="3"/>
  <c r="C32" i="3"/>
  <c r="B35" i="3"/>
  <c r="B34" i="3"/>
  <c r="B33" i="3"/>
  <c r="B32" i="3"/>
  <c r="L51" i="2"/>
  <c r="K51" i="2"/>
  <c r="J51" i="2"/>
  <c r="I51" i="2"/>
  <c r="H51" i="2"/>
  <c r="G51" i="2"/>
  <c r="F51" i="2"/>
  <c r="E51" i="2"/>
  <c r="D53" i="1"/>
  <c r="K53" i="2" l="1" a="1"/>
  <c r="K53" i="2" s="1"/>
  <c r="I53" i="2" a="1"/>
  <c r="I53" i="2" s="1"/>
  <c r="E53" i="2" a="1"/>
  <c r="E53" i="2" s="1"/>
  <c r="H53" i="2" a="1"/>
  <c r="H53" i="2" s="1"/>
  <c r="G53" i="2" a="1"/>
  <c r="G53" i="2" s="1"/>
  <c r="J53" i="2" a="1"/>
  <c r="J53" i="2" s="1"/>
  <c r="L53" i="2" a="1"/>
  <c r="L53" i="2" s="1"/>
  <c r="F53" i="2" a="1"/>
  <c r="F53" i="2" s="1"/>
  <c r="D55" i="2"/>
  <c r="D56" i="2"/>
  <c r="D54" i="2"/>
  <c r="D56" i="1"/>
  <c r="D54" i="1"/>
  <c r="B27" i="3"/>
  <c r="B29" i="3"/>
  <c r="B26" i="3"/>
  <c r="X26" i="3" l="1"/>
  <c r="Y26" i="3"/>
  <c r="T26" i="3"/>
  <c r="V26" i="3"/>
  <c r="U26" i="3"/>
  <c r="Z26" i="3"/>
  <c r="AA26" i="3"/>
  <c r="W26" i="3"/>
  <c r="AF26" i="3"/>
  <c r="AG26" i="3"/>
  <c r="AH26" i="3"/>
  <c r="AB26" i="3"/>
  <c r="AI26" i="3"/>
  <c r="AC26" i="3"/>
  <c r="AD26" i="3"/>
  <c r="AE26" i="3"/>
  <c r="N26" i="3"/>
  <c r="Q26" i="3"/>
  <c r="R26" i="3"/>
  <c r="M26" i="3"/>
  <c r="P26" i="3"/>
  <c r="S26" i="3"/>
  <c r="L26" i="3"/>
  <c r="O26" i="3"/>
  <c r="AI2" i="3"/>
  <c r="G2" i="3"/>
  <c r="AB2" i="3"/>
  <c r="R2" i="3"/>
  <c r="AH2" i="3"/>
  <c r="D2" i="3"/>
  <c r="L2" i="3"/>
  <c r="E2" i="3"/>
  <c r="AE2" i="3"/>
  <c r="F2" i="3"/>
  <c r="AG2" i="3"/>
  <c r="N2" i="3"/>
  <c r="O2" i="3"/>
  <c r="M2" i="3"/>
  <c r="AC2" i="3"/>
  <c r="I2" i="3"/>
  <c r="S2" i="3"/>
  <c r="AF2" i="3"/>
  <c r="P2" i="3"/>
  <c r="K2" i="3"/>
  <c r="J2" i="3"/>
  <c r="Q2" i="3"/>
  <c r="AD2" i="3"/>
  <c r="H2" i="3"/>
  <c r="K18" i="1"/>
  <c r="AD27" i="3" l="1"/>
  <c r="AD28" i="3" s="1"/>
  <c r="AD29" i="3" s="1"/>
  <c r="AD30" i="3" s="1"/>
  <c r="AD31" i="3" s="1"/>
  <c r="AD32" i="3" s="1"/>
  <c r="AD33" i="3" s="1"/>
  <c r="AD34" i="3" s="1"/>
  <c r="AD35" i="3" s="1"/>
  <c r="AD36" i="3" s="1"/>
  <c r="AD37" i="3" s="1"/>
  <c r="AD38" i="3" s="1"/>
  <c r="AD39" i="3" s="1"/>
  <c r="AD40" i="3" s="1"/>
  <c r="AD41" i="3" s="1"/>
  <c r="AD42" i="3" s="1"/>
  <c r="AD43" i="3" s="1"/>
  <c r="AD44" i="3" s="1"/>
  <c r="AD45" i="3" s="1"/>
  <c r="AD46" i="3" s="1"/>
  <c r="AA27" i="3"/>
  <c r="AA28" i="3" s="1"/>
  <c r="AA29" i="3" s="1"/>
  <c r="AA30" i="3" s="1"/>
  <c r="AA31" i="3" s="1"/>
  <c r="AA32" i="3" s="1"/>
  <c r="AA33" i="3" s="1"/>
  <c r="AA34" i="3" s="1"/>
  <c r="AA35" i="3" s="1"/>
  <c r="AA36" i="3" s="1"/>
  <c r="AA37" i="3" s="1"/>
  <c r="AA38" i="3" s="1"/>
  <c r="AA39" i="3" s="1"/>
  <c r="AA40" i="3" s="1"/>
  <c r="AA41" i="3" s="1"/>
  <c r="AA42" i="3" s="1"/>
  <c r="AA43" i="3" s="1"/>
  <c r="AA44" i="3" s="1"/>
  <c r="AA45" i="3" s="1"/>
  <c r="AA46" i="3" s="1"/>
  <c r="AC27" i="3"/>
  <c r="AC28" i="3" s="1"/>
  <c r="AC29" i="3" s="1"/>
  <c r="AC30" i="3" s="1"/>
  <c r="AC31" i="3" s="1"/>
  <c r="AC32" i="3" s="1"/>
  <c r="AC33" i="3" s="1"/>
  <c r="AC34" i="3" s="1"/>
  <c r="AC35" i="3" s="1"/>
  <c r="AC36" i="3" s="1"/>
  <c r="AC37" i="3" s="1"/>
  <c r="AC38" i="3" s="1"/>
  <c r="AC39" i="3" s="1"/>
  <c r="AC40" i="3" s="1"/>
  <c r="AC41" i="3" s="1"/>
  <c r="AC42" i="3" s="1"/>
  <c r="AC43" i="3" s="1"/>
  <c r="AC44" i="3" s="1"/>
  <c r="AC45" i="3" s="1"/>
  <c r="AC46" i="3" s="1"/>
  <c r="Z27" i="3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Z39" i="3" s="1"/>
  <c r="Z40" i="3" s="1"/>
  <c r="Z41" i="3" s="1"/>
  <c r="Z42" i="3" s="1"/>
  <c r="Z43" i="3" s="1"/>
  <c r="Z44" i="3" s="1"/>
  <c r="Z45" i="3" s="1"/>
  <c r="Z46" i="3" s="1"/>
  <c r="AE27" i="3"/>
  <c r="AE28" i="3" s="1"/>
  <c r="AE29" i="3" s="1"/>
  <c r="AE30" i="3" s="1"/>
  <c r="AE31" i="3" s="1"/>
  <c r="AE32" i="3" s="1"/>
  <c r="AE33" i="3" s="1"/>
  <c r="AE34" i="3" s="1"/>
  <c r="AE35" i="3" s="1"/>
  <c r="AE36" i="3" s="1"/>
  <c r="AE37" i="3" s="1"/>
  <c r="AE38" i="3" s="1"/>
  <c r="AE39" i="3" s="1"/>
  <c r="AE40" i="3" s="1"/>
  <c r="AE41" i="3" s="1"/>
  <c r="AE42" i="3" s="1"/>
  <c r="AE43" i="3" s="1"/>
  <c r="AE44" i="3" s="1"/>
  <c r="AE45" i="3" s="1"/>
  <c r="AE46" i="3" s="1"/>
  <c r="AI27" i="3"/>
  <c r="AI28" i="3" s="1"/>
  <c r="AI29" i="3" s="1"/>
  <c r="AI30" i="3" s="1"/>
  <c r="AI31" i="3" s="1"/>
  <c r="AI32" i="3" s="1"/>
  <c r="AI33" i="3" s="1"/>
  <c r="AI34" i="3" s="1"/>
  <c r="AI35" i="3" s="1"/>
  <c r="AI36" i="3" s="1"/>
  <c r="AI37" i="3" s="1"/>
  <c r="AI38" i="3" s="1"/>
  <c r="AI39" i="3" s="1"/>
  <c r="AI40" i="3" s="1"/>
  <c r="AI41" i="3" s="1"/>
  <c r="AI42" i="3" s="1"/>
  <c r="AI43" i="3" s="1"/>
  <c r="AI44" i="3" s="1"/>
  <c r="AI45" i="3" s="1"/>
  <c r="AI46" i="3" s="1"/>
  <c r="U27" i="3"/>
  <c r="U28" i="3" s="1"/>
  <c r="U29" i="3" s="1"/>
  <c r="U30" i="3" s="1"/>
  <c r="U31" i="3" s="1"/>
  <c r="U32" i="3" s="1"/>
  <c r="U33" i="3" s="1"/>
  <c r="U34" i="3" s="1"/>
  <c r="U35" i="3" s="1"/>
  <c r="U36" i="3" s="1"/>
  <c r="U37" i="3" s="1"/>
  <c r="U38" i="3" s="1"/>
  <c r="U39" i="3" s="1"/>
  <c r="U40" i="3" s="1"/>
  <c r="U41" i="3" s="1"/>
  <c r="U42" i="3" s="1"/>
  <c r="U43" i="3" s="1"/>
  <c r="U44" i="3" s="1"/>
  <c r="U45" i="3" s="1"/>
  <c r="U46" i="3" s="1"/>
  <c r="O27" i="3"/>
  <c r="O28" i="3" s="1"/>
  <c r="O29" i="3" s="1"/>
  <c r="O30" i="3" s="1"/>
  <c r="O31" i="3" s="1"/>
  <c r="O32" i="3" s="1"/>
  <c r="O33" i="3" s="1"/>
  <c r="O34" i="3" s="1"/>
  <c r="O35" i="3" s="1"/>
  <c r="O36" i="3" s="1"/>
  <c r="O37" i="3" s="1"/>
  <c r="O38" i="3" s="1"/>
  <c r="O39" i="3" s="1"/>
  <c r="O40" i="3" s="1"/>
  <c r="O41" i="3" s="1"/>
  <c r="O42" i="3" s="1"/>
  <c r="O43" i="3" s="1"/>
  <c r="O44" i="3" s="1"/>
  <c r="O45" i="3" s="1"/>
  <c r="O46" i="3" s="1"/>
  <c r="M27" i="3"/>
  <c r="M28" i="3" s="1"/>
  <c r="M29" i="3" s="1"/>
  <c r="M30" i="3" s="1"/>
  <c r="M31" i="3" s="1"/>
  <c r="M32" i="3" s="1"/>
  <c r="M33" i="3" s="1"/>
  <c r="M34" i="3" s="1"/>
  <c r="M35" i="3" s="1"/>
  <c r="M36" i="3" s="1"/>
  <c r="M37" i="3" s="1"/>
  <c r="M38" i="3" s="1"/>
  <c r="M39" i="3" s="1"/>
  <c r="M40" i="3" s="1"/>
  <c r="M41" i="3" s="1"/>
  <c r="M42" i="3" s="1"/>
  <c r="M43" i="3" s="1"/>
  <c r="M44" i="3" s="1"/>
  <c r="M45" i="3" s="1"/>
  <c r="M46" i="3" s="1"/>
  <c r="V27" i="3"/>
  <c r="V28" i="3" s="1"/>
  <c r="V29" i="3" s="1"/>
  <c r="V30" i="3" s="1"/>
  <c r="V31" i="3" s="1"/>
  <c r="V32" i="3" s="1"/>
  <c r="V33" i="3" s="1"/>
  <c r="V34" i="3" s="1"/>
  <c r="V35" i="3" s="1"/>
  <c r="V36" i="3" s="1"/>
  <c r="V37" i="3" s="1"/>
  <c r="V38" i="3" s="1"/>
  <c r="V39" i="3" s="1"/>
  <c r="V40" i="3" s="1"/>
  <c r="V41" i="3" s="1"/>
  <c r="V42" i="3" s="1"/>
  <c r="V43" i="3" s="1"/>
  <c r="V44" i="3" s="1"/>
  <c r="V45" i="3" s="1"/>
  <c r="V46" i="3" s="1"/>
  <c r="W27" i="3"/>
  <c r="W28" i="3" s="1"/>
  <c r="W29" i="3" s="1"/>
  <c r="W30" i="3" s="1"/>
  <c r="W31" i="3" s="1"/>
  <c r="W32" i="3" s="1"/>
  <c r="W33" i="3" s="1"/>
  <c r="W34" i="3" s="1"/>
  <c r="W35" i="3" s="1"/>
  <c r="W36" i="3" s="1"/>
  <c r="W37" i="3" s="1"/>
  <c r="W38" i="3" s="1"/>
  <c r="W39" i="3" s="1"/>
  <c r="W40" i="3" s="1"/>
  <c r="W41" i="3" s="1"/>
  <c r="W42" i="3" s="1"/>
  <c r="W43" i="3" s="1"/>
  <c r="W44" i="3" s="1"/>
  <c r="W45" i="3" s="1"/>
  <c r="W46" i="3" s="1"/>
  <c r="P27" i="3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R27" i="3"/>
  <c r="R28" i="3" s="1"/>
  <c r="R29" i="3" s="1"/>
  <c r="R30" i="3" s="1"/>
  <c r="R31" i="3" s="1"/>
  <c r="R32" i="3" s="1"/>
  <c r="R33" i="3" s="1"/>
  <c r="R34" i="3" s="1"/>
  <c r="R35" i="3" s="1"/>
  <c r="R36" i="3" s="1"/>
  <c r="R37" i="3" s="1"/>
  <c r="R38" i="3" s="1"/>
  <c r="R39" i="3" s="1"/>
  <c r="R40" i="3" s="1"/>
  <c r="R41" i="3" s="1"/>
  <c r="R42" i="3" s="1"/>
  <c r="R43" i="3" s="1"/>
  <c r="R44" i="3" s="1"/>
  <c r="R45" i="3" s="1"/>
  <c r="R46" i="3" s="1"/>
  <c r="AH27" i="3"/>
  <c r="AH28" i="3" s="1"/>
  <c r="AH29" i="3" s="1"/>
  <c r="AH30" i="3" s="1"/>
  <c r="AH31" i="3" s="1"/>
  <c r="AH32" i="3" s="1"/>
  <c r="AH33" i="3" s="1"/>
  <c r="AH34" i="3" s="1"/>
  <c r="AH35" i="3" s="1"/>
  <c r="AH36" i="3" s="1"/>
  <c r="AH37" i="3" s="1"/>
  <c r="AH38" i="3" s="1"/>
  <c r="AH39" i="3" s="1"/>
  <c r="AH40" i="3" s="1"/>
  <c r="AH41" i="3" s="1"/>
  <c r="AH42" i="3" s="1"/>
  <c r="AH43" i="3" s="1"/>
  <c r="AH44" i="3" s="1"/>
  <c r="AH45" i="3" s="1"/>
  <c r="AH46" i="3" s="1"/>
  <c r="S27" i="3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Q27" i="3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AG27" i="3"/>
  <c r="AG28" i="3" s="1"/>
  <c r="AG29" i="3" s="1"/>
  <c r="AG30" i="3" s="1"/>
  <c r="AG31" i="3" s="1"/>
  <c r="AG32" i="3" s="1"/>
  <c r="AG33" i="3" s="1"/>
  <c r="AG34" i="3" s="1"/>
  <c r="AG35" i="3" s="1"/>
  <c r="AG36" i="3" s="1"/>
  <c r="AG37" i="3" s="1"/>
  <c r="AG38" i="3" s="1"/>
  <c r="AG39" i="3" s="1"/>
  <c r="AG40" i="3" s="1"/>
  <c r="AG41" i="3" s="1"/>
  <c r="AG42" i="3" s="1"/>
  <c r="AG43" i="3" s="1"/>
  <c r="AG44" i="3" s="1"/>
  <c r="AG45" i="3" s="1"/>
  <c r="AG46" i="3" s="1"/>
  <c r="Y27" i="3"/>
  <c r="Y28" i="3" s="1"/>
  <c r="Y29" i="3" s="1"/>
  <c r="Y30" i="3" s="1"/>
  <c r="Y31" i="3" s="1"/>
  <c r="Y32" i="3" s="1"/>
  <c r="Y33" i="3" s="1"/>
  <c r="Y34" i="3" s="1"/>
  <c r="Y35" i="3" s="1"/>
  <c r="Y36" i="3" s="1"/>
  <c r="Y37" i="3" s="1"/>
  <c r="Y38" i="3" s="1"/>
  <c r="Y39" i="3" s="1"/>
  <c r="Y40" i="3" s="1"/>
  <c r="Y41" i="3" s="1"/>
  <c r="Y42" i="3" s="1"/>
  <c r="Y43" i="3" s="1"/>
  <c r="Y44" i="3" s="1"/>
  <c r="Y45" i="3" s="1"/>
  <c r="Y46" i="3" s="1"/>
  <c r="N27" i="3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AF27" i="3"/>
  <c r="AF28" i="3" s="1"/>
  <c r="AF29" i="3" s="1"/>
  <c r="AF30" i="3" s="1"/>
  <c r="AF31" i="3" s="1"/>
  <c r="AF32" i="3" s="1"/>
  <c r="AF33" i="3" s="1"/>
  <c r="AF34" i="3" s="1"/>
  <c r="AF35" i="3" s="1"/>
  <c r="AF36" i="3" s="1"/>
  <c r="AF37" i="3" s="1"/>
  <c r="AF38" i="3" s="1"/>
  <c r="AF39" i="3" s="1"/>
  <c r="AF40" i="3" s="1"/>
  <c r="AF41" i="3" s="1"/>
  <c r="AF42" i="3" s="1"/>
  <c r="AF43" i="3" s="1"/>
  <c r="AF44" i="3" s="1"/>
  <c r="AF45" i="3" s="1"/>
  <c r="AF46" i="3" s="1"/>
  <c r="X27" i="3"/>
  <c r="X28" i="3" s="1"/>
  <c r="X29" i="3" s="1"/>
  <c r="X30" i="3" s="1"/>
  <c r="X31" i="3" s="1"/>
  <c r="X32" i="3" s="1"/>
  <c r="X33" i="3" s="1"/>
  <c r="X34" i="3" s="1"/>
  <c r="X35" i="3" s="1"/>
  <c r="X36" i="3" s="1"/>
  <c r="X37" i="3" s="1"/>
  <c r="X38" i="3" s="1"/>
  <c r="X39" i="3" s="1"/>
  <c r="X40" i="3" s="1"/>
  <c r="X41" i="3" s="1"/>
  <c r="X42" i="3" s="1"/>
  <c r="X43" i="3" s="1"/>
  <c r="X44" i="3" s="1"/>
  <c r="X45" i="3" s="1"/>
  <c r="X46" i="3" s="1"/>
  <c r="AB27" i="3"/>
  <c r="AB28" i="3" s="1"/>
  <c r="AB29" i="3" s="1"/>
  <c r="AB30" i="3" s="1"/>
  <c r="AB31" i="3" s="1"/>
  <c r="AB32" i="3" s="1"/>
  <c r="AB33" i="3" s="1"/>
  <c r="AB34" i="3" s="1"/>
  <c r="AB35" i="3" s="1"/>
  <c r="AB36" i="3" s="1"/>
  <c r="AB37" i="3" s="1"/>
  <c r="AB38" i="3" s="1"/>
  <c r="AB39" i="3" s="1"/>
  <c r="AB40" i="3" s="1"/>
  <c r="AB41" i="3" s="1"/>
  <c r="AB42" i="3" s="1"/>
  <c r="AB43" i="3" s="1"/>
  <c r="AB44" i="3" s="1"/>
  <c r="AB45" i="3" s="1"/>
  <c r="AB46" i="3" s="1"/>
  <c r="T27" i="3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L27" i="3"/>
  <c r="L28" i="3" s="1"/>
  <c r="L29" i="3" s="1"/>
  <c r="L30" i="3" s="1"/>
  <c r="L31" i="3" s="1"/>
  <c r="L32" i="3" s="1"/>
  <c r="L33" i="3" s="1"/>
  <c r="L34" i="3" s="1"/>
  <c r="L35" i="3" s="1"/>
  <c r="L36" i="3" s="1"/>
  <c r="L37" i="3" s="1"/>
  <c r="L38" i="3" s="1"/>
  <c r="L39" i="3" s="1"/>
  <c r="L40" i="3" s="1"/>
  <c r="L41" i="3" s="1"/>
  <c r="L42" i="3" s="1"/>
  <c r="L43" i="3" s="1"/>
  <c r="L44" i="3" s="1"/>
  <c r="L45" i="3" s="1"/>
  <c r="L46" i="3" s="1"/>
  <c r="B28" i="3"/>
  <c r="V2" i="3" s="1"/>
  <c r="C4" i="4"/>
  <c r="D4" i="4" s="1"/>
  <c r="B5" i="4"/>
  <c r="C5" i="4" s="1"/>
  <c r="B6" i="4"/>
  <c r="C6" i="4" s="1"/>
  <c r="I56" i="2" l="1" a="1"/>
  <c r="I56" i="2" s="1"/>
  <c r="J54" i="2" a="1"/>
  <c r="J54" i="2" s="1"/>
  <c r="I54" i="2" a="1"/>
  <c r="I54" i="2" s="1"/>
  <c r="H54" i="2" a="1"/>
  <c r="H54" i="2" s="1"/>
  <c r="K55" i="2" a="1"/>
  <c r="K55" i="2" s="1"/>
  <c r="G54" i="2" a="1"/>
  <c r="G54" i="2" s="1"/>
  <c r="L54" i="2" a="1"/>
  <c r="L54" i="2" s="1"/>
  <c r="H55" i="2" a="1"/>
  <c r="H55" i="2" s="1"/>
  <c r="F55" i="2" a="1"/>
  <c r="F55" i="2" s="1"/>
  <c r="F56" i="2" a="1"/>
  <c r="F56" i="2" s="1"/>
  <c r="E56" i="2" a="1"/>
  <c r="E56" i="2" s="1"/>
  <c r="J55" i="2" a="1"/>
  <c r="J55" i="2" s="1"/>
  <c r="K56" i="2" a="1"/>
  <c r="K56" i="2" s="1"/>
  <c r="G55" i="2" a="1"/>
  <c r="G55" i="2" s="1"/>
  <c r="L56" i="2" a="1"/>
  <c r="L56" i="2" s="1"/>
  <c r="L55" i="2" a="1"/>
  <c r="L55" i="2" s="1"/>
  <c r="I55" i="2" a="1"/>
  <c r="I55" i="2" s="1"/>
  <c r="J56" i="2" a="1"/>
  <c r="J56" i="2" s="1"/>
  <c r="K54" i="2" a="1"/>
  <c r="K54" i="2" s="1"/>
  <c r="F54" i="2" a="1"/>
  <c r="F54" i="2" s="1"/>
  <c r="H56" i="2" a="1"/>
  <c r="H56" i="2" s="1"/>
  <c r="G56" i="2" a="1"/>
  <c r="G56" i="2" s="1"/>
  <c r="E55" i="2" a="1"/>
  <c r="E55" i="2" s="1"/>
  <c r="E54" i="2" a="1"/>
  <c r="E54" i="2" s="1"/>
  <c r="Y2" i="3"/>
  <c r="U2" i="3"/>
  <c r="X2" i="3"/>
  <c r="AA2" i="3"/>
  <c r="Z2" i="3"/>
  <c r="W2" i="3"/>
  <c r="T2" i="3"/>
  <c r="D5" i="4"/>
  <c r="E4" i="4"/>
  <c r="C24" i="1"/>
  <c r="E5" i="4" l="1"/>
  <c r="H4" i="4" l="1"/>
  <c r="F5" i="4"/>
  <c r="D6" i="4" s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J26" i="1" a="1"/>
  <c r="E25" i="1" a="1"/>
  <c r="H29" i="1" a="1"/>
  <c r="F25" i="1" a="1"/>
  <c r="I25" i="1" a="1"/>
  <c r="K28" i="1" a="1"/>
  <c r="G28" i="1" a="1"/>
  <c r="G29" i="1" a="1"/>
  <c r="E27" i="1" a="1"/>
  <c r="I26" i="1" a="1"/>
  <c r="G26" i="1" a="1"/>
  <c r="F27" i="1" a="1"/>
  <c r="J27" i="1" a="1"/>
  <c r="E28" i="1" a="1"/>
  <c r="D25" i="1" a="1"/>
  <c r="K25" i="1" a="1"/>
  <c r="E29" i="1" a="1"/>
  <c r="H27" i="1" a="1"/>
  <c r="D29" i="1" a="1"/>
  <c r="J25" i="1" a="1"/>
  <c r="J28" i="1" a="1"/>
  <c r="F29" i="1" a="1"/>
  <c r="D28" i="1" a="1"/>
  <c r="D27" i="1" a="1"/>
  <c r="E26" i="1" a="1"/>
  <c r="K29" i="1" a="1"/>
  <c r="I27" i="1" a="1"/>
  <c r="H28" i="1" a="1"/>
  <c r="H25" i="1" a="1"/>
  <c r="I29" i="1" a="1"/>
  <c r="F26" i="1" a="1"/>
  <c r="G27" i="1" a="1"/>
  <c r="D26" i="1" a="1"/>
  <c r="K26" i="1" a="1"/>
  <c r="H26" i="1" a="1"/>
  <c r="K27" i="1" a="1"/>
  <c r="I28" i="1" a="1"/>
  <c r="F28" i="1" a="1"/>
  <c r="G25" i="1" a="1"/>
  <c r="J29" i="1" a="1"/>
  <c r="I4" i="4" l="1"/>
  <c r="H27" i="1"/>
  <c r="H26" i="1"/>
  <c r="H25" i="1"/>
  <c r="H29" i="1"/>
  <c r="H28" i="1"/>
  <c r="I25" i="1"/>
  <c r="I29" i="1"/>
  <c r="I28" i="1"/>
  <c r="I26" i="1"/>
  <c r="I27" i="1"/>
  <c r="G28" i="1"/>
  <c r="G29" i="1"/>
  <c r="G25" i="1"/>
  <c r="G27" i="1"/>
  <c r="G26" i="1"/>
  <c r="F27" i="1"/>
  <c r="F26" i="1"/>
  <c r="F25" i="1"/>
  <c r="F29" i="1"/>
  <c r="F28" i="1"/>
  <c r="J27" i="1"/>
  <c r="J26" i="1"/>
  <c r="J25" i="1"/>
  <c r="J29" i="1"/>
  <c r="J28" i="1"/>
  <c r="E26" i="1"/>
  <c r="E29" i="1"/>
  <c r="E28" i="1"/>
  <c r="E27" i="1"/>
  <c r="E25" i="1"/>
  <c r="D27" i="1"/>
  <c r="D26" i="1"/>
  <c r="D25" i="1"/>
  <c r="D29" i="1"/>
  <c r="D28" i="1"/>
  <c r="K29" i="1"/>
  <c r="K26" i="1"/>
  <c r="K28" i="1"/>
  <c r="K27" i="1"/>
  <c r="K25" i="1"/>
  <c r="H24" i="2"/>
  <c r="I24" i="2"/>
  <c r="G24" i="2"/>
  <c r="F24" i="2"/>
  <c r="J24" i="2"/>
  <c r="E24" i="2"/>
  <c r="D24" i="2"/>
  <c r="K24" i="2"/>
  <c r="AI1" i="3"/>
  <c r="AA1" i="3"/>
  <c r="S1" i="3"/>
  <c r="K1" i="3"/>
  <c r="S3" i="3"/>
  <c r="AA3" i="3"/>
  <c r="K3" i="3"/>
  <c r="AI3" i="3"/>
  <c r="AI4" i="3" s="1"/>
  <c r="AE1" i="3"/>
  <c r="W1" i="3"/>
  <c r="O1" i="3"/>
  <c r="G1" i="3"/>
  <c r="W3" i="3"/>
  <c r="G3" i="3"/>
  <c r="AE3" i="3"/>
  <c r="AE4" i="3" s="1"/>
  <c r="O3" i="3"/>
  <c r="AH1" i="3"/>
  <c r="Z1" i="3"/>
  <c r="R1" i="3"/>
  <c r="J1" i="3"/>
  <c r="Z3" i="3"/>
  <c r="R3" i="3"/>
  <c r="J3" i="3"/>
  <c r="AH3" i="3"/>
  <c r="AH4" i="3" s="1"/>
  <c r="AD1" i="3"/>
  <c r="V1" i="3"/>
  <c r="N1" i="3"/>
  <c r="F1" i="3"/>
  <c r="N3" i="3"/>
  <c r="AD3" i="3"/>
  <c r="AD4" i="3" s="1"/>
  <c r="F3" i="3"/>
  <c r="V3" i="3"/>
  <c r="AG1" i="3"/>
  <c r="Y1" i="3"/>
  <c r="Q1" i="3"/>
  <c r="I1" i="3"/>
  <c r="I3" i="3"/>
  <c r="AG3" i="3"/>
  <c r="AG4" i="3" s="1"/>
  <c r="Y3" i="3"/>
  <c r="Q3" i="3"/>
  <c r="AC1" i="3"/>
  <c r="M1" i="3"/>
  <c r="E1" i="3"/>
  <c r="U1" i="3"/>
  <c r="AC3" i="3"/>
  <c r="AC4" i="3" s="1"/>
  <c r="E3" i="3"/>
  <c r="U3" i="3"/>
  <c r="M3" i="3"/>
  <c r="T1" i="3"/>
  <c r="D1" i="3"/>
  <c r="AB1" i="3"/>
  <c r="L1" i="3"/>
  <c r="AB3" i="3"/>
  <c r="AB4" i="3" s="1"/>
  <c r="L3" i="3"/>
  <c r="D3" i="3"/>
  <c r="T3" i="3"/>
  <c r="AF1" i="3"/>
  <c r="X1" i="3"/>
  <c r="P1" i="3"/>
  <c r="H1" i="3"/>
  <c r="AF3" i="3"/>
  <c r="AF4" i="3" s="1"/>
  <c r="X3" i="3"/>
  <c r="P3" i="3"/>
  <c r="H3" i="3"/>
  <c r="L51" i="1"/>
  <c r="H51" i="1"/>
  <c r="G51" i="1"/>
  <c r="J51" i="1"/>
  <c r="F51" i="1"/>
  <c r="K51" i="1"/>
  <c r="E51" i="1"/>
  <c r="I51" i="1"/>
  <c r="K24" i="1"/>
  <c r="J24" i="1"/>
  <c r="F24" i="1"/>
  <c r="I24" i="1"/>
  <c r="E24" i="1"/>
  <c r="D24" i="1"/>
  <c r="H24" i="1"/>
  <c r="G24" i="1"/>
  <c r="E6" i="4"/>
  <c r="AH5" i="3" l="1"/>
  <c r="AH6" i="3" s="1"/>
  <c r="AH7" i="3" s="1"/>
  <c r="AH8" i="3" s="1"/>
  <c r="AH9" i="3" s="1"/>
  <c r="AH10" i="3" s="1"/>
  <c r="AH11" i="3" s="1"/>
  <c r="AH12" i="3" s="1"/>
  <c r="AH13" i="3" s="1"/>
  <c r="AH14" i="3" s="1"/>
  <c r="AH15" i="3" s="1"/>
  <c r="AH16" i="3" s="1"/>
  <c r="AH17" i="3" s="1"/>
  <c r="AH18" i="3" s="1"/>
  <c r="AH19" i="3" s="1"/>
  <c r="AH20" i="3" s="1"/>
  <c r="AH21" i="3" s="1"/>
  <c r="AH22" i="3" s="1"/>
  <c r="O4" i="3"/>
  <c r="O5" i="3" s="1"/>
  <c r="O6" i="3" s="1"/>
  <c r="O7" i="3" s="1"/>
  <c r="O8" i="3" s="1"/>
  <c r="O9" i="3" s="1"/>
  <c r="O10" i="3" s="1"/>
  <c r="O11" i="3" s="1"/>
  <c r="O12" i="3" s="1"/>
  <c r="O13" i="3" s="1"/>
  <c r="O14" i="3" s="1"/>
  <c r="O15" i="3" s="1"/>
  <c r="O16" i="3" s="1"/>
  <c r="O17" i="3" s="1"/>
  <c r="O18" i="3" s="1"/>
  <c r="O19" i="3" s="1"/>
  <c r="O20" i="3" s="1"/>
  <c r="O21" i="3" s="1"/>
  <c r="O22" i="3" s="1"/>
  <c r="H54" i="1" a="1"/>
  <c r="H54" i="1" s="1"/>
  <c r="AI5" i="3"/>
  <c r="AI6" i="3" s="1"/>
  <c r="AI7" i="3" s="1"/>
  <c r="AI8" i="3" s="1"/>
  <c r="AI9" i="3" s="1"/>
  <c r="AI10" i="3" s="1"/>
  <c r="AI11" i="3" s="1"/>
  <c r="AI12" i="3" s="1"/>
  <c r="AI13" i="3" s="1"/>
  <c r="AI14" i="3" s="1"/>
  <c r="AI15" i="3" s="1"/>
  <c r="AI16" i="3" s="1"/>
  <c r="AI17" i="3" s="1"/>
  <c r="AI18" i="3" s="1"/>
  <c r="AI19" i="3" s="1"/>
  <c r="AI20" i="3" s="1"/>
  <c r="AI21" i="3" s="1"/>
  <c r="AI22" i="3" s="1"/>
  <c r="Y4" i="3"/>
  <c r="Y5" i="3" s="1"/>
  <c r="Y6" i="3" s="1"/>
  <c r="Y7" i="3" s="1"/>
  <c r="Y8" i="3" s="1"/>
  <c r="Y9" i="3" s="1"/>
  <c r="Y10" i="3" s="1"/>
  <c r="Y11" i="3" s="1"/>
  <c r="Y12" i="3" s="1"/>
  <c r="Y13" i="3" s="1"/>
  <c r="Y14" i="3" s="1"/>
  <c r="Y15" i="3" s="1"/>
  <c r="Y16" i="3" s="1"/>
  <c r="Y17" i="3" s="1"/>
  <c r="Y18" i="3" s="1"/>
  <c r="Y19" i="3" s="1"/>
  <c r="Y20" i="3" s="1"/>
  <c r="Y21" i="3" s="1"/>
  <c r="Y22" i="3" s="1"/>
  <c r="AE5" i="3"/>
  <c r="AE6" i="3" s="1"/>
  <c r="AE7" i="3" s="1"/>
  <c r="AE8" i="3" s="1"/>
  <c r="AE9" i="3" s="1"/>
  <c r="AE10" i="3" s="1"/>
  <c r="AE11" i="3" s="1"/>
  <c r="AE12" i="3" s="1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V4" i="3"/>
  <c r="V5" i="3" s="1"/>
  <c r="V6" i="3" s="1"/>
  <c r="V7" i="3" s="1"/>
  <c r="V8" i="3" s="1"/>
  <c r="V9" i="3" s="1"/>
  <c r="V10" i="3" s="1"/>
  <c r="V11" i="3" s="1"/>
  <c r="V12" i="3" s="1"/>
  <c r="V13" i="3" s="1"/>
  <c r="V14" i="3" s="1"/>
  <c r="V15" i="3" s="1"/>
  <c r="V16" i="3" s="1"/>
  <c r="V17" i="3" s="1"/>
  <c r="V18" i="3" s="1"/>
  <c r="V19" i="3" s="1"/>
  <c r="V20" i="3" s="1"/>
  <c r="V21" i="3" s="1"/>
  <c r="V22" i="3" s="1"/>
  <c r="AA4" i="3"/>
  <c r="AA5" i="3" s="1"/>
  <c r="AA6" i="3" s="1"/>
  <c r="AA7" i="3" s="1"/>
  <c r="AA8" i="3" s="1"/>
  <c r="AA9" i="3" s="1"/>
  <c r="AA10" i="3" s="1"/>
  <c r="AA11" i="3" s="1"/>
  <c r="AA12" i="3" s="1"/>
  <c r="AA13" i="3" s="1"/>
  <c r="AA14" i="3" s="1"/>
  <c r="AA15" i="3" s="1"/>
  <c r="AA16" i="3" s="1"/>
  <c r="AA17" i="3" s="1"/>
  <c r="AA18" i="3" s="1"/>
  <c r="AA19" i="3" s="1"/>
  <c r="AA20" i="3" s="1"/>
  <c r="AA21" i="3" s="1"/>
  <c r="AA22" i="3" s="1"/>
  <c r="P4" i="3"/>
  <c r="P5" i="3" s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I54" i="1" a="1"/>
  <c r="I54" i="1" s="1"/>
  <c r="AD5" i="3"/>
  <c r="AD6" i="3" s="1"/>
  <c r="AD7" i="3" s="1"/>
  <c r="AD8" i="3" s="1"/>
  <c r="AD9" i="3" s="1"/>
  <c r="AD10" i="3" s="1"/>
  <c r="AD11" i="3" s="1"/>
  <c r="AD12" i="3" s="1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AC5" i="3"/>
  <c r="AC6" i="3" s="1"/>
  <c r="AC7" i="3" s="1"/>
  <c r="AC8" i="3" s="1"/>
  <c r="AC9" i="3" s="1"/>
  <c r="AC10" i="3" s="1"/>
  <c r="AC11" i="3" s="1"/>
  <c r="AC12" i="3" s="1"/>
  <c r="AC13" i="3" s="1"/>
  <c r="AC14" i="3" s="1"/>
  <c r="AC15" i="3" s="1"/>
  <c r="AC16" i="3" s="1"/>
  <c r="AC17" i="3" s="1"/>
  <c r="AC18" i="3" s="1"/>
  <c r="AC19" i="3" s="1"/>
  <c r="AC20" i="3" s="1"/>
  <c r="AC21" i="3" s="1"/>
  <c r="AC22" i="3" s="1"/>
  <c r="W4" i="3"/>
  <c r="W5" i="3" s="1"/>
  <c r="W6" i="3" s="1"/>
  <c r="W7" i="3" s="1"/>
  <c r="W8" i="3" s="1"/>
  <c r="W9" i="3" s="1"/>
  <c r="W10" i="3" s="1"/>
  <c r="W11" i="3" s="1"/>
  <c r="W12" i="3" s="1"/>
  <c r="W13" i="3" s="1"/>
  <c r="W14" i="3" s="1"/>
  <c r="W15" i="3" s="1"/>
  <c r="W16" i="3" s="1"/>
  <c r="W17" i="3" s="1"/>
  <c r="W18" i="3" s="1"/>
  <c r="W19" i="3" s="1"/>
  <c r="W20" i="3" s="1"/>
  <c r="W21" i="3" s="1"/>
  <c r="W22" i="3" s="1"/>
  <c r="U4" i="3"/>
  <c r="U5" i="3" s="1"/>
  <c r="U6" i="3" s="1"/>
  <c r="U7" i="3" s="1"/>
  <c r="U8" i="3" s="1"/>
  <c r="U9" i="3" s="1"/>
  <c r="U10" i="3" s="1"/>
  <c r="U11" i="3" s="1"/>
  <c r="U12" i="3" s="1"/>
  <c r="U13" i="3" s="1"/>
  <c r="U14" i="3" s="1"/>
  <c r="U15" i="3" s="1"/>
  <c r="U16" i="3" s="1"/>
  <c r="U17" i="3" s="1"/>
  <c r="U18" i="3" s="1"/>
  <c r="U19" i="3" s="1"/>
  <c r="U20" i="3" s="1"/>
  <c r="U21" i="3" s="1"/>
  <c r="U22" i="3" s="1"/>
  <c r="AF5" i="3"/>
  <c r="AF6" i="3" s="1"/>
  <c r="AF7" i="3" s="1"/>
  <c r="AF8" i="3" s="1"/>
  <c r="AF9" i="3" s="1"/>
  <c r="AF10" i="3" s="1"/>
  <c r="AF11" i="3" s="1"/>
  <c r="AF12" i="3" s="1"/>
  <c r="AF13" i="3" s="1"/>
  <c r="AF14" i="3" s="1"/>
  <c r="AF15" i="3" s="1"/>
  <c r="AF16" i="3" s="1"/>
  <c r="AF17" i="3" s="1"/>
  <c r="AF18" i="3" s="1"/>
  <c r="AF19" i="3" s="1"/>
  <c r="AF20" i="3" s="1"/>
  <c r="AF21" i="3" s="1"/>
  <c r="AF22" i="3" s="1"/>
  <c r="Z4" i="3"/>
  <c r="Z5" i="3" s="1"/>
  <c r="Z6" i="3" s="1"/>
  <c r="Z7" i="3" s="1"/>
  <c r="Z8" i="3" s="1"/>
  <c r="Z9" i="3" s="1"/>
  <c r="Z10" i="3" s="1"/>
  <c r="Z11" i="3" s="1"/>
  <c r="Z12" i="3" s="1"/>
  <c r="Z13" i="3" s="1"/>
  <c r="Z14" i="3" s="1"/>
  <c r="Z15" i="3" s="1"/>
  <c r="Z16" i="3" s="1"/>
  <c r="Z17" i="3" s="1"/>
  <c r="Z18" i="3" s="1"/>
  <c r="Z19" i="3" s="1"/>
  <c r="Z20" i="3" s="1"/>
  <c r="Z21" i="3" s="1"/>
  <c r="Z22" i="3" s="1"/>
  <c r="M4" i="3"/>
  <c r="M5" i="3" s="1"/>
  <c r="M6" i="3" s="1"/>
  <c r="M7" i="3" s="1"/>
  <c r="M8" i="3" s="1"/>
  <c r="M9" i="3" s="1"/>
  <c r="M10" i="3" s="1"/>
  <c r="M11" i="3" s="1"/>
  <c r="M12" i="3" s="1"/>
  <c r="M13" i="3" s="1"/>
  <c r="M14" i="3" s="1"/>
  <c r="M15" i="3" s="1"/>
  <c r="M16" i="3" s="1"/>
  <c r="M17" i="3" s="1"/>
  <c r="M18" i="3" s="1"/>
  <c r="M19" i="3" s="1"/>
  <c r="M20" i="3" s="1"/>
  <c r="M21" i="3" s="1"/>
  <c r="M22" i="3" s="1"/>
  <c r="F54" i="1" a="1"/>
  <c r="F54" i="1" s="1"/>
  <c r="AG5" i="3"/>
  <c r="AG6" i="3" s="1"/>
  <c r="AG7" i="3" s="1"/>
  <c r="AG8" i="3" s="1"/>
  <c r="AG9" i="3" s="1"/>
  <c r="AG10" i="3" s="1"/>
  <c r="AG11" i="3" s="1"/>
  <c r="AG12" i="3" s="1"/>
  <c r="AG13" i="3" s="1"/>
  <c r="AG14" i="3" s="1"/>
  <c r="AG15" i="3" s="1"/>
  <c r="AG16" i="3" s="1"/>
  <c r="AG17" i="3" s="1"/>
  <c r="AG18" i="3" s="1"/>
  <c r="AG19" i="3" s="1"/>
  <c r="AG20" i="3" s="1"/>
  <c r="AG21" i="3" s="1"/>
  <c r="AG22" i="3" s="1"/>
  <c r="N4" i="3"/>
  <c r="N5" i="3" s="1"/>
  <c r="N6" i="3" s="1"/>
  <c r="N7" i="3" s="1"/>
  <c r="N8" i="3" s="1"/>
  <c r="N9" i="3" s="1"/>
  <c r="N10" i="3" s="1"/>
  <c r="N11" i="3" s="1"/>
  <c r="N12" i="3" s="1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G54" i="1" a="1"/>
  <c r="G54" i="1" s="1"/>
  <c r="Q4" i="3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J54" i="1" a="1"/>
  <c r="J54" i="1" s="1"/>
  <c r="X4" i="3"/>
  <c r="X5" i="3" s="1"/>
  <c r="X6" i="3" s="1"/>
  <c r="X7" i="3" s="1"/>
  <c r="X8" i="3" s="1"/>
  <c r="X9" i="3" s="1"/>
  <c r="X10" i="3" s="1"/>
  <c r="X11" i="3" s="1"/>
  <c r="X12" i="3" s="1"/>
  <c r="X13" i="3" s="1"/>
  <c r="X14" i="3" s="1"/>
  <c r="X15" i="3" s="1"/>
  <c r="X16" i="3" s="1"/>
  <c r="X17" i="3" s="1"/>
  <c r="X18" i="3" s="1"/>
  <c r="X19" i="3" s="1"/>
  <c r="X20" i="3" s="1"/>
  <c r="X21" i="3" s="1"/>
  <c r="X22" i="3" s="1"/>
  <c r="R4" i="3"/>
  <c r="R5" i="3" s="1"/>
  <c r="R6" i="3" s="1"/>
  <c r="R7" i="3" s="1"/>
  <c r="R8" i="3" s="1"/>
  <c r="R9" i="3" s="1"/>
  <c r="R10" i="3" s="1"/>
  <c r="R11" i="3" s="1"/>
  <c r="R12" i="3" s="1"/>
  <c r="R13" i="3" s="1"/>
  <c r="R14" i="3" s="1"/>
  <c r="R15" i="3" s="1"/>
  <c r="R16" i="3" s="1"/>
  <c r="R17" i="3" s="1"/>
  <c r="R18" i="3" s="1"/>
  <c r="R19" i="3" s="1"/>
  <c r="R20" i="3" s="1"/>
  <c r="R21" i="3" s="1"/>
  <c r="R22" i="3" s="1"/>
  <c r="K54" i="1" a="1"/>
  <c r="K54" i="1" s="1"/>
  <c r="S4" i="3"/>
  <c r="S5" i="3" s="1"/>
  <c r="S6" i="3" s="1"/>
  <c r="S7" i="3" s="1"/>
  <c r="S8" i="3" s="1"/>
  <c r="S9" i="3" s="1"/>
  <c r="S10" i="3" s="1"/>
  <c r="S11" i="3" s="1"/>
  <c r="S12" i="3" s="1"/>
  <c r="S13" i="3" s="1"/>
  <c r="S14" i="3" s="1"/>
  <c r="S15" i="3" s="1"/>
  <c r="S16" i="3" s="1"/>
  <c r="S17" i="3" s="1"/>
  <c r="S18" i="3" s="1"/>
  <c r="S19" i="3" s="1"/>
  <c r="S20" i="3" s="1"/>
  <c r="S21" i="3" s="1"/>
  <c r="S22" i="3" s="1"/>
  <c r="L54" i="1" a="1"/>
  <c r="L54" i="1" s="1"/>
  <c r="AB5" i="3"/>
  <c r="AB6" i="3" s="1"/>
  <c r="AB7" i="3" s="1"/>
  <c r="AB8" i="3" s="1"/>
  <c r="AB9" i="3" s="1"/>
  <c r="AB10" i="3" s="1"/>
  <c r="AB11" i="3" s="1"/>
  <c r="AB12" i="3" s="1"/>
  <c r="AB13" i="3" s="1"/>
  <c r="AB14" i="3" s="1"/>
  <c r="AB15" i="3" s="1"/>
  <c r="AB16" i="3" s="1"/>
  <c r="AB17" i="3" s="1"/>
  <c r="AB18" i="3" s="1"/>
  <c r="AB19" i="3" s="1"/>
  <c r="AB20" i="3" s="1"/>
  <c r="AB21" i="3" s="1"/>
  <c r="AB22" i="3" s="1"/>
  <c r="T4" i="3"/>
  <c r="T5" i="3" s="1"/>
  <c r="T6" i="3" s="1"/>
  <c r="T7" i="3" s="1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L4" i="3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L20" i="3" s="1"/>
  <c r="L21" i="3" s="1"/>
  <c r="L22" i="3" s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J4" i="3"/>
  <c r="J5" i="3" s="1"/>
  <c r="J6" i="3" s="1"/>
  <c r="J7" i="3" s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K4" i="3"/>
  <c r="K5" i="3" s="1"/>
  <c r="K6" i="3" s="1"/>
  <c r="K7" i="3" s="1"/>
  <c r="K8" i="3" s="1"/>
  <c r="K9" i="3" s="1"/>
  <c r="K10" i="3" s="1"/>
  <c r="K11" i="3" s="1"/>
  <c r="K12" i="3" s="1"/>
  <c r="K13" i="3" s="1"/>
  <c r="K14" i="3" s="1"/>
  <c r="K15" i="3" s="1"/>
  <c r="K16" i="3" s="1"/>
  <c r="K17" i="3" s="1"/>
  <c r="K18" i="3" s="1"/>
  <c r="K19" i="3" s="1"/>
  <c r="K20" i="3" s="1"/>
  <c r="K21" i="3" s="1"/>
  <c r="K22" i="3" s="1"/>
  <c r="G4" i="3"/>
  <c r="G5" i="3" s="1"/>
  <c r="G6" i="3" s="1"/>
  <c r="G7" i="3" s="1"/>
  <c r="G8" i="3" s="1"/>
  <c r="G9" i="3" s="1"/>
  <c r="G10" i="3" s="1"/>
  <c r="G11" i="3" s="1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E4" i="3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I4" i="3"/>
  <c r="I5" i="3" s="1"/>
  <c r="I6" i="3" s="1"/>
  <c r="I7" i="3" s="1"/>
  <c r="I8" i="3" s="1"/>
  <c r="I9" i="3" s="1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H4" i="3"/>
  <c r="H5" i="3" s="1"/>
  <c r="H6" i="3" s="1"/>
  <c r="H7" i="3" s="1"/>
  <c r="H8" i="3" s="1"/>
  <c r="H9" i="3" s="1"/>
  <c r="H10" i="3" s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D4" i="3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H5" i="4"/>
  <c r="F6" i="4"/>
  <c r="B7" i="4" s="1"/>
  <c r="C7" i="4" s="1"/>
  <c r="I5" i="4" l="1"/>
  <c r="J56" i="1" a="1"/>
  <c r="J56" i="1" s="1"/>
  <c r="F55" i="1" a="1"/>
  <c r="F55" i="1" s="1"/>
  <c r="J55" i="1" a="1"/>
  <c r="J55" i="1" s="1"/>
  <c r="E54" i="1" a="1"/>
  <c r="E54" i="1" s="1"/>
  <c r="I55" i="1" a="1"/>
  <c r="I55" i="1" s="1"/>
  <c r="H55" i="1" a="1"/>
  <c r="H55" i="1" s="1"/>
  <c r="L55" i="1" a="1"/>
  <c r="L55" i="1" s="1"/>
  <c r="L56" i="1" a="1"/>
  <c r="L56" i="1" s="1"/>
  <c r="K55" i="1" a="1"/>
  <c r="K55" i="1" s="1"/>
  <c r="F56" i="1" a="1"/>
  <c r="F56" i="1" s="1"/>
  <c r="G55" i="1" a="1"/>
  <c r="G55" i="1" s="1"/>
  <c r="I56" i="1" a="1"/>
  <c r="I56" i="1" s="1"/>
  <c r="G56" i="1" a="1"/>
  <c r="G56" i="1" s="1"/>
  <c r="H56" i="1" a="1"/>
  <c r="H56" i="1" s="1"/>
  <c r="K56" i="1" a="1"/>
  <c r="K56" i="1" s="1"/>
  <c r="E56" i="1" a="1"/>
  <c r="E56" i="1" s="1"/>
  <c r="L53" i="1" a="1"/>
  <c r="L53" i="1" s="1"/>
  <c r="E55" i="1" a="1"/>
  <c r="E55" i="1" s="1"/>
  <c r="I53" i="1" a="1"/>
  <c r="I53" i="1" s="1"/>
  <c r="H53" i="1" a="1"/>
  <c r="H53" i="1" s="1"/>
  <c r="J53" i="1" a="1"/>
  <c r="J53" i="1" s="1"/>
  <c r="K53" i="1" a="1"/>
  <c r="K53" i="1" s="1"/>
  <c r="F53" i="1" a="1"/>
  <c r="F53" i="1" s="1"/>
  <c r="G53" i="1" a="1"/>
  <c r="G53" i="1" s="1"/>
  <c r="E53" i="1" a="1"/>
  <c r="E53" i="1" s="1"/>
  <c r="D7" i="4"/>
  <c r="E7" i="4" s="1"/>
  <c r="H6" i="4" l="1"/>
  <c r="F7" i="4"/>
  <c r="B8" i="4" s="1"/>
  <c r="I6" i="4" l="1"/>
  <c r="C8" i="4"/>
  <c r="D8" i="4" s="1"/>
  <c r="E8" i="4" s="1"/>
  <c r="H7" i="4" s="1"/>
  <c r="F8" i="4" l="1"/>
  <c r="I7" i="4" s="1"/>
  <c r="B9" i="4" l="1"/>
  <c r="C9" i="4" s="1"/>
  <c r="D9" i="4" s="1"/>
  <c r="E9" i="4" s="1"/>
  <c r="F9" i="4" s="1"/>
  <c r="G8" i="4"/>
  <c r="H8" i="4" l="1"/>
  <c r="I8" i="4" s="1"/>
  <c r="B10" i="4"/>
  <c r="G9" i="4"/>
  <c r="C10" i="4" l="1"/>
  <c r="D10" i="4" s="1"/>
  <c r="E10" i="4" s="1"/>
  <c r="F10" i="4" s="1"/>
  <c r="H9" i="4" l="1"/>
  <c r="I9" i="4" s="1"/>
  <c r="G10" i="4"/>
  <c r="B11" i="4"/>
  <c r="C11" i="4" l="1"/>
  <c r="D11" i="4" s="1"/>
  <c r="E11" i="4" s="1"/>
  <c r="H10" i="4" s="1"/>
  <c r="I10" i="4" l="1"/>
  <c r="F11" i="4"/>
  <c r="B12" i="4" s="1"/>
  <c r="G11" i="4" l="1"/>
  <c r="C12" i="4"/>
  <c r="D12" i="4" s="1"/>
  <c r="E12" i="4" s="1"/>
  <c r="H11" i="4" l="1"/>
  <c r="I11" i="4" s="1"/>
  <c r="F12" i="4"/>
  <c r="G12" i="4" l="1"/>
  <c r="B13" i="4"/>
  <c r="C13" i="4" l="1"/>
  <c r="D13" i="4" s="1"/>
  <c r="E13" i="4" s="1"/>
  <c r="F13" i="4" s="1"/>
  <c r="H12" i="4" l="1"/>
  <c r="I12" i="4" s="1"/>
  <c r="G13" i="4"/>
  <c r="B14" i="4"/>
  <c r="C14" i="4" l="1"/>
  <c r="D14" i="4" s="1"/>
  <c r="E14" i="4" s="1"/>
  <c r="F14" i="4" s="1"/>
  <c r="H13" i="4" l="1"/>
  <c r="I13" i="4" s="1"/>
  <c r="G14" i="4"/>
  <c r="B15" i="4"/>
  <c r="C15" i="4" l="1"/>
  <c r="D15" i="4" s="1"/>
  <c r="E15" i="4" l="1"/>
  <c r="H14" i="4" s="1"/>
  <c r="F15" i="4" l="1"/>
  <c r="B16" i="4" s="1"/>
  <c r="C16" i="4" s="1"/>
  <c r="D16" i="4" s="1"/>
  <c r="I14" i="4" l="1"/>
  <c r="G15" i="4"/>
  <c r="E16" i="4"/>
  <c r="F16" i="4" s="1"/>
  <c r="H15" i="4" l="1"/>
  <c r="I15" i="4" s="1"/>
  <c r="G16" i="4"/>
  <c r="B17" i="4"/>
  <c r="C17" i="4" l="1"/>
  <c r="D17" i="4" s="1"/>
  <c r="E17" i="4" l="1"/>
  <c r="H16" i="4" s="1"/>
  <c r="F17" i="4" l="1"/>
  <c r="B18" i="4" s="1"/>
  <c r="C18" i="4" s="1"/>
  <c r="D18" i="4" s="1"/>
  <c r="I16" i="4" l="1"/>
  <c r="G17" i="4"/>
  <c r="E18" i="4"/>
  <c r="F18" i="4" s="1"/>
  <c r="H17" i="4" l="1"/>
  <c r="I17" i="4" s="1"/>
  <c r="B19" i="4"/>
  <c r="C19" i="4" s="1"/>
  <c r="D19" i="4" s="1"/>
  <c r="G18" i="4"/>
  <c r="E19" i="4" l="1"/>
  <c r="F19" i="4" s="1"/>
  <c r="H18" i="4" l="1"/>
  <c r="I18" i="4" s="1"/>
  <c r="B20" i="4"/>
  <c r="C20" i="4" s="1"/>
  <c r="D20" i="4" s="1"/>
  <c r="G19" i="4"/>
  <c r="E20" i="4" l="1"/>
  <c r="F20" i="4" s="1"/>
  <c r="H19" i="4" l="1"/>
  <c r="I19" i="4" s="1"/>
  <c r="B21" i="4"/>
  <c r="C21" i="4" s="1"/>
  <c r="D21" i="4" s="1"/>
  <c r="G20" i="4"/>
  <c r="E21" i="4" l="1"/>
  <c r="F21" i="4" s="1"/>
  <c r="H20" i="4" l="1"/>
  <c r="I20" i="4" s="1"/>
  <c r="G21" i="4"/>
  <c r="B22" i="4"/>
  <c r="C22" i="4" l="1"/>
  <c r="D22" i="4" s="1"/>
  <c r="E22" i="4" s="1"/>
  <c r="F22" i="4" s="1"/>
  <c r="H21" i="4" l="1"/>
  <c r="I21" i="4" s="1"/>
  <c r="G22" i="4"/>
  <c r="B23" i="4"/>
  <c r="C23" i="4" l="1"/>
  <c r="D23" i="4" s="1"/>
  <c r="E23" i="4" s="1"/>
  <c r="H22" i="4" s="1"/>
  <c r="F23" i="4" l="1"/>
  <c r="I22" i="4" s="1"/>
  <c r="B24" i="4" l="1"/>
  <c r="G23" i="4"/>
  <c r="C24" i="4" l="1"/>
  <c r="D24" i="4" s="1"/>
  <c r="E24" i="4" s="1"/>
  <c r="H23" i="4" s="1"/>
  <c r="F24" i="4" l="1"/>
  <c r="I23" i="4" s="1"/>
  <c r="B25" i="4" l="1"/>
  <c r="G24" i="4"/>
  <c r="C25" i="4" l="1"/>
  <c r="D25" i="4" s="1"/>
  <c r="E25" i="4" l="1"/>
  <c r="H24" i="4" s="1"/>
  <c r="F25" i="4" l="1"/>
  <c r="B26" i="4" s="1"/>
  <c r="C26" i="4" s="1"/>
  <c r="D26" i="4" s="1"/>
  <c r="I24" i="4" l="1"/>
  <c r="G25" i="4"/>
  <c r="E26" i="4"/>
  <c r="F26" i="4" s="1"/>
  <c r="H25" i="4" l="1"/>
  <c r="I25" i="4" s="1"/>
  <c r="B27" i="4"/>
  <c r="C27" i="4" s="1"/>
  <c r="D27" i="4" s="1"/>
  <c r="G26" i="4"/>
  <c r="E27" i="4" l="1"/>
  <c r="F27" i="4" s="1"/>
  <c r="H26" i="4" l="1"/>
  <c r="I26" i="4" s="1"/>
  <c r="B28" i="4"/>
  <c r="C28" i="4" s="1"/>
  <c r="D28" i="4" s="1"/>
  <c r="G27" i="4"/>
  <c r="E28" i="4" l="1"/>
  <c r="F28" i="4" s="1"/>
  <c r="H27" i="4" l="1"/>
  <c r="I27" i="4" s="1"/>
  <c r="G28" i="4"/>
  <c r="B29" i="4"/>
  <c r="C29" i="4" s="1"/>
  <c r="D29" i="4" s="1"/>
  <c r="E29" i="4" l="1"/>
  <c r="F29" i="4" s="1"/>
  <c r="H28" i="4" l="1"/>
  <c r="I28" i="4" s="1"/>
  <c r="B30" i="4"/>
  <c r="C30" i="4" s="1"/>
  <c r="D30" i="4" s="1"/>
  <c r="G29" i="4"/>
  <c r="E30" i="4" l="1"/>
  <c r="F30" i="4" s="1"/>
  <c r="H29" i="4" l="1"/>
  <c r="I29" i="4" s="1"/>
  <c r="B31" i="4"/>
  <c r="G30" i="4"/>
  <c r="C31" i="4" l="1"/>
  <c r="D31" i="4" s="1"/>
  <c r="E31" i="4" s="1"/>
  <c r="H30" i="4" s="1"/>
  <c r="F31" i="4" l="1"/>
  <c r="I30" i="4" s="1"/>
  <c r="G31" i="4" l="1"/>
  <c r="B32" i="4"/>
  <c r="C32" i="4" l="1"/>
  <c r="D32" i="4" s="1"/>
  <c r="E32" i="4" s="1"/>
  <c r="H31" i="4" s="1"/>
  <c r="F32" i="4" l="1"/>
  <c r="I31" i="4" s="1"/>
  <c r="B33" i="4" l="1"/>
  <c r="G32" i="4"/>
  <c r="C33" i="4" l="1"/>
  <c r="D33" i="4" s="1"/>
  <c r="E33" i="4" l="1"/>
  <c r="H32" i="4" s="1"/>
  <c r="F33" i="4" l="1"/>
  <c r="G33" i="4" s="1"/>
  <c r="I32" i="4" l="1"/>
  <c r="B34" i="4"/>
  <c r="C34" i="4" s="1"/>
  <c r="D34" i="4" s="1"/>
  <c r="E34" i="4" s="1"/>
  <c r="H33" i="4" s="1"/>
  <c r="F34" i="4" l="1"/>
  <c r="G34" i="4" s="1"/>
  <c r="I33" i="4" l="1"/>
  <c r="B35" i="4"/>
  <c r="C35" i="4" s="1"/>
  <c r="D35" i="4" s="1"/>
  <c r="E35" i="4" s="1"/>
  <c r="H34" i="4" s="1"/>
  <c r="F35" i="4" l="1"/>
  <c r="G35" i="4" s="1"/>
  <c r="I34" i="4" l="1"/>
  <c r="B36" i="4"/>
  <c r="C36" i="4" s="1"/>
  <c r="D36" i="4" s="1"/>
  <c r="E36" i="4" s="1"/>
  <c r="F36" i="4" s="1"/>
  <c r="H35" i="4" l="1"/>
  <c r="I35" i="4" s="1"/>
  <c r="B37" i="4"/>
  <c r="C37" i="4" s="1"/>
  <c r="D37" i="4" s="1"/>
  <c r="G36" i="4"/>
  <c r="E37" i="4" l="1"/>
  <c r="F37" i="4" s="1"/>
  <c r="H36" i="4" l="1"/>
  <c r="I36" i="4" s="1"/>
  <c r="B38" i="4"/>
  <c r="C38" i="4" s="1"/>
  <c r="D38" i="4" s="1"/>
  <c r="G37" i="4"/>
  <c r="E38" i="4" l="1"/>
  <c r="F38" i="4" s="1"/>
  <c r="H37" i="4" l="1"/>
  <c r="I37" i="4" s="1"/>
  <c r="G38" i="4"/>
  <c r="B39" i="4"/>
  <c r="C39" i="4" l="1"/>
  <c r="D39" i="4" s="1"/>
  <c r="E39" i="4" s="1"/>
  <c r="F39" i="4" s="1"/>
  <c r="H38" i="4" l="1"/>
  <c r="I38" i="4" s="1"/>
  <c r="G39" i="4"/>
  <c r="B40" i="4"/>
  <c r="C40" i="4" l="1"/>
  <c r="D40" i="4" s="1"/>
  <c r="E40" i="4" s="1"/>
  <c r="H39" i="4" s="1"/>
  <c r="F40" i="4" l="1"/>
  <c r="I39" i="4" s="1"/>
  <c r="B41" i="4" l="1"/>
  <c r="G40" i="4"/>
  <c r="C41" i="4" l="1"/>
  <c r="D41" i="4" s="1"/>
  <c r="E41" i="4" l="1"/>
  <c r="H40" i="4" s="1"/>
  <c r="F41" i="4" l="1"/>
  <c r="B42" i="4" s="1"/>
  <c r="C42" i="4" s="1"/>
  <c r="D42" i="4" s="1"/>
  <c r="I40" i="4" l="1"/>
  <c r="G41" i="4"/>
  <c r="E42" i="4"/>
  <c r="F42" i="4" s="1"/>
  <c r="H41" i="4" l="1"/>
  <c r="I41" i="4" s="1"/>
  <c r="G42" i="4"/>
  <c r="B43" i="4"/>
  <c r="C43" i="4" s="1"/>
  <c r="D43" i="4" s="1"/>
  <c r="E43" i="4" l="1"/>
  <c r="P12" i="4" s="1"/>
  <c r="F43" i="4" l="1"/>
  <c r="G43" i="4" s="1"/>
  <c r="H43" i="4" s="1"/>
  <c r="I43" i="4" s="1"/>
  <c r="H42" i="4"/>
  <c r="I42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<sst xmlns="http://schemas.openxmlformats.org/spreadsheetml/2006/main" count="240" uniqueCount="104">
  <si>
    <t>Inversió inicial</t>
  </si>
  <si>
    <t>Tecnologia</t>
  </si>
  <si>
    <t>Convencional</t>
  </si>
  <si>
    <t>Elèctric</t>
  </si>
  <si>
    <t>Gas</t>
  </si>
  <si>
    <t>Híbrid elèctric</t>
  </si>
  <si>
    <t>Hidrogen</t>
  </si>
  <si>
    <t>Subvencions</t>
  </si>
  <si>
    <t>Total</t>
  </si>
  <si>
    <t>Quilòmetres anuals</t>
  </si>
  <si>
    <t>Coeficient
 d'actualització</t>
  </si>
  <si>
    <t>Vida 
útil</t>
  </si>
  <si>
    <t>Vida útil</t>
  </si>
  <si>
    <t>Quilòmetres urbà</t>
  </si>
  <si>
    <t>Quilòmetres interurbà</t>
  </si>
  <si>
    <t>Cost energia
 €/100km</t>
  </si>
  <si>
    <t>Hores</t>
  </si>
  <si>
    <t>Km/diaris</t>
  </si>
  <si>
    <t>Vel mitjana (km/h)</t>
  </si>
  <si>
    <t>Temps càrrega</t>
  </si>
  <si>
    <t>Descans</t>
  </si>
  <si>
    <t>Temps max cond</t>
  </si>
  <si>
    <t>Actualització hora</t>
  </si>
  <si>
    <t>Actualització KM diaris</t>
  </si>
  <si>
    <t>KM act</t>
  </si>
  <si>
    <t>Cost manteniment</t>
  </si>
  <si>
    <t>Cost diferencial</t>
  </si>
  <si>
    <t>Pay-back</t>
  </si>
  <si>
    <t>Diferencia Inversió inicial</t>
  </si>
  <si>
    <t>Convencional (referència)</t>
  </si>
  <si>
    <t>-</t>
  </si>
  <si>
    <t>Valor Inicial</t>
  </si>
  <si>
    <t>Diferencia cost combustible urbà</t>
  </si>
  <si>
    <t>Diferencia cost combustible interurbà</t>
  </si>
  <si>
    <t>Diferencia cost manteniment urbà</t>
  </si>
  <si>
    <t>Diferencia cost manteniment interurbà</t>
  </si>
  <si>
    <t>FILTRE-I</t>
  </si>
  <si>
    <t>FILTRE-II</t>
  </si>
  <si>
    <t>DETALL DELS CONTINGUTS (PER PESTANYES)</t>
  </si>
  <si>
    <t>Aquesta eina permet el càlcul del cost diferencial actualitzat dels vehicles segons la seva vida útil, el pay-back de les energies alternatives i el càlcul de la producció diària, tant per a trajectes urbans com per a interurbans</t>
  </si>
  <si>
    <t>PASSOS A SEGUIR PER REALITZAR ELS CÀLCULS</t>
  </si>
  <si>
    <t>1) Inserir en la pestanya URBÀ o INTERUBÀ els inputs necessaris per als càlculs per a realitzar el Filtre I</t>
  </si>
  <si>
    <t>Urbà</t>
  </si>
  <si>
    <t>Interubà</t>
  </si>
  <si>
    <t>2)  Inserir en la pestanya PRODUCCIÓ DIÀRIA els inputs necessaris per als càlculs per a realitzar el Filtre II</t>
  </si>
  <si>
    <t>Producció diària</t>
  </si>
  <si>
    <t>: pestanya Interurbà, realitza el càlcul diferencial actualitzar i el Pay-back</t>
  </si>
  <si>
    <t>: pestanya Urbà, realitza el càlcul diferencial actualitzar i el Pay-back</t>
  </si>
  <si>
    <t>: pestanya producció diària, es visualitza si el vehicle es apte per a realitzar una jornada laboral segons la seva autonomia i temps de recàrrega</t>
  </si>
  <si>
    <t>Inserir els valors de le cel·les de color gris (els valors que hi ha a les taules són valors de referència)</t>
  </si>
  <si>
    <t>Autonomia (&gt;=50 km)</t>
  </si>
  <si>
    <t>Producció total (km)</t>
  </si>
  <si>
    <t>Renting</t>
  </si>
  <si>
    <t>Leasing</t>
  </si>
  <si>
    <t>Total mesos</t>
  </si>
  <si>
    <t>Total mesos (vida útil)</t>
  </si>
  <si>
    <t>€/Mes</t>
  </si>
  <si>
    <t xml:space="preserve">                                                         Guia per a la compra de vehicles de transport de mercaderies segons diferents tecnologies de motor</t>
  </si>
  <si>
    <t>Emissions</t>
  </si>
  <si>
    <t>Parametres</t>
  </si>
  <si>
    <t>Furgoneta</t>
  </si>
  <si>
    <t>Convencional (dièsel)</t>
  </si>
  <si>
    <t>Camió rígid</t>
  </si>
  <si>
    <t>Camió articulat</t>
  </si>
  <si>
    <t>Nombre quilòmetres</t>
  </si>
  <si>
    <t>CO2 eq g/km</t>
  </si>
  <si>
    <t>PM10 total g/km</t>
  </si>
  <si>
    <t>NOx g/km</t>
  </si>
  <si>
    <t>CO2 eq kg/km</t>
  </si>
  <si>
    <t>NOx kg/km</t>
  </si>
  <si>
    <t>PM10 total kg/km</t>
  </si>
  <si>
    <t>DAFO</t>
  </si>
  <si>
    <t>: pestanya emissions, realitza el càlcul de les emissions (GHG i locals) segons els quilòmetres anuals que es realitzin</t>
  </si>
  <si>
    <t>: pestanya DAFO, és una matriu DAFO,  que identifica quins factors interns i externs són favorables i desfavorables per a cadascuna de les tecnologies</t>
  </si>
  <si>
    <t>Tipo de ruta</t>
  </si>
  <si>
    <t>Interurbà</t>
  </si>
  <si>
    <t>Híbrid</t>
  </si>
  <si>
    <t>Debilitats</t>
  </si>
  <si>
    <t>Combustible fòssil</t>
  </si>
  <si>
    <t>Emissions elevades</t>
  </si>
  <si>
    <t>Gran dimensió de les bateries (autonomia)</t>
  </si>
  <si>
    <t>Infraestructura de recàrrega poc extensa</t>
  </si>
  <si>
    <t>Amenaces</t>
  </si>
  <si>
    <t>Augment dels impostos</t>
  </si>
  <si>
    <t>Restriccions</t>
  </si>
  <si>
    <t>Emissions elevades (si no s'utilitza biogàs)</t>
  </si>
  <si>
    <t>Preu bateries elevat</t>
  </si>
  <si>
    <t>Cost d'adquisició elevat</t>
  </si>
  <si>
    <t>Cost combustible elevat</t>
  </si>
  <si>
    <t>Fortaleses</t>
  </si>
  <si>
    <t>Experiència en la tecnologia</t>
  </si>
  <si>
    <t>Infraestructura de recàrrega extensa</t>
  </si>
  <si>
    <t>Cost d'adquisició baix</t>
  </si>
  <si>
    <r>
      <t>Només PM</t>
    </r>
    <r>
      <rPr>
        <vertAlign val="subscript"/>
        <sz val="8"/>
        <color theme="1"/>
        <rFont val="Cambria"/>
        <family val="1"/>
      </rPr>
      <t xml:space="preserve">10  </t>
    </r>
    <r>
      <rPr>
        <sz val="8"/>
        <color theme="1"/>
        <rFont val="Cambria"/>
        <family val="1"/>
      </rPr>
      <t>degut al desgast dels pneumàtics amb el paviment</t>
    </r>
  </si>
  <si>
    <t>Oportunitats</t>
  </si>
  <si>
    <t>Utilitzar biogàs</t>
  </si>
  <si>
    <t>Creació punts de recàrrega</t>
  </si>
  <si>
    <t>Reducció cost d'adquisició</t>
  </si>
  <si>
    <t>Reducció pes bateries (autonomia)</t>
  </si>
  <si>
    <t>Reducció del pes de les bateries (autonomia)</t>
  </si>
  <si>
    <t>Reducció del cost d'adquisició</t>
  </si>
  <si>
    <t>Reducció cost combustible</t>
  </si>
  <si>
    <t>Matriu DAFO per als propers 15 anys</t>
  </si>
  <si>
    <t>Inserir els valors de les cel·les de color groc quan es tinguin per aquestes tecnologies amb EURO 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</si>
</sst>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€&quot;"/>
    <numFmt numFmtId="165" formatCode="#,##0\ &quot;€&quot;"/>
    <numFmt numFmtId="166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ource Sans Pro"/>
      <family val="2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sz val="11"/>
      <color theme="1"/>
      <name val="Source Sans Pro"/>
      <family val="2"/>
    </font>
    <font>
      <b/>
      <sz val="10"/>
      <color theme="1"/>
      <name val="Source Sans Pro"/>
      <family val="2"/>
    </font>
    <font>
      <sz val="10"/>
      <color theme="1"/>
      <name val="Calibri"/>
      <family val="2"/>
      <scheme val="minor"/>
    </font>
    <font>
      <b/>
      <sz val="8"/>
      <color rgb="FFF2F2F2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vertAlign val="subscript"/>
      <sz val="8"/>
      <color theme="1"/>
      <name val="Cambria"/>
      <family val="1"/>
    </font>
    <font>
      <sz val="8"/>
      <color theme="1"/>
      <name val="Calibri"/>
      <family val="2"/>
      <scheme val="minor"/>
    </font>
    <font>
      <b/>
      <sz val="11"/>
      <color rgb="FFEA61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8A3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161"/>
        <bgColor indexed="64"/>
      </patternFill>
    </fill>
    <fill>
      <patternFill patternType="solid">
        <fgColor rgb="FFF6DC1A"/>
        <bgColor indexed="64"/>
      </patternFill>
    </fill>
    <fill>
      <patternFill patternType="solid">
        <fgColor rgb="FFEA611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79646"/>
      </left>
      <right/>
      <top style="medium">
        <color rgb="FFF79646"/>
      </top>
      <bottom/>
      <diagonal/>
    </border>
    <border>
      <left/>
      <right/>
      <top style="medium">
        <color rgb="FFF79646"/>
      </top>
      <bottom/>
      <diagonal/>
    </border>
    <border>
      <left/>
      <right style="medium">
        <color rgb="FFF79646"/>
      </right>
      <top style="medium">
        <color rgb="FFF79646"/>
      </top>
      <bottom/>
      <diagonal/>
    </border>
    <border>
      <left/>
      <right/>
      <top/>
      <bottom style="medium">
        <color rgb="FFEA6111"/>
      </bottom>
      <diagonal/>
    </border>
    <border>
      <left/>
      <right/>
      <top style="medium">
        <color rgb="FFEA611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5">
    <xf numFmtId="0" fontId="0" fillId="0" borderId="0" xfId="0"/>
    <xf numFmtId="0" fontId="0" fillId="0" borderId="1" xfId="0" applyBorder="1"/>
    <xf numFmtId="0" fontId="0" fillId="3" borderId="0" xfId="0" applyFill="1"/>
    <xf numFmtId="0" fontId="0" fillId="0" borderId="1" xfId="0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2" borderId="0" xfId="0" applyFill="1"/>
    <xf numFmtId="0" fontId="0" fillId="0" borderId="0" xfId="0" applyProtection="1">
      <protection hidden="1"/>
    </xf>
    <xf numFmtId="0" fontId="0" fillId="3" borderId="0" xfId="0" applyFill="1" applyProtection="1">
      <protection hidden="1"/>
    </xf>
    <xf numFmtId="0" fontId="0" fillId="7" borderId="0" xfId="0" applyFill="1" applyProtection="1">
      <protection hidden="1"/>
    </xf>
    <xf numFmtId="0" fontId="0" fillId="8" borderId="0" xfId="0" applyFill="1"/>
    <xf numFmtId="0" fontId="2" fillId="8" borderId="0" xfId="0" applyFont="1" applyFill="1"/>
    <xf numFmtId="0" fontId="0" fillId="8" borderId="0" xfId="0" applyFill="1" applyBorder="1" applyAlignment="1">
      <alignment horizontal="left" vertical="center"/>
    </xf>
    <xf numFmtId="0" fontId="0" fillId="8" borderId="0" xfId="0" applyFill="1" applyBorder="1" applyAlignment="1">
      <alignment vertical="center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6" fillId="10" borderId="1" xfId="0" applyFont="1" applyFill="1" applyBorder="1" applyAlignment="1" applyProtection="1">
      <alignment horizontal="center" vertical="center"/>
      <protection locked="0"/>
    </xf>
    <xf numFmtId="0" fontId="6" fillId="8" borderId="0" xfId="0" applyFont="1" applyFill="1"/>
    <xf numFmtId="0" fontId="3" fillId="8" borderId="0" xfId="0" applyFont="1" applyFill="1"/>
    <xf numFmtId="0" fontId="6" fillId="8" borderId="0" xfId="0" applyFont="1" applyFill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6" fillId="8" borderId="0" xfId="0" applyFont="1" applyFill="1" applyBorder="1" applyAlignment="1">
      <alignment horizontal="left" vertical="center"/>
    </xf>
    <xf numFmtId="0" fontId="6" fillId="0" borderId="1" xfId="0" applyFont="1" applyBorder="1"/>
    <xf numFmtId="165" fontId="6" fillId="0" borderId="1" xfId="0" applyNumberFormat="1" applyFont="1" applyBorder="1" applyAlignment="1">
      <alignment horizontal="center"/>
    </xf>
    <xf numFmtId="165" fontId="6" fillId="0" borderId="1" xfId="0" applyNumberFormat="1" applyFont="1" applyBorder="1" applyAlignment="1" applyProtection="1">
      <alignment horizontal="center"/>
      <protection hidden="1"/>
    </xf>
    <xf numFmtId="2" fontId="6" fillId="0" borderId="1" xfId="0" applyNumberFormat="1" applyFont="1" applyBorder="1" applyAlignment="1">
      <alignment horizontal="center"/>
    </xf>
    <xf numFmtId="0" fontId="3" fillId="10" borderId="14" xfId="0" applyFont="1" applyFill="1" applyBorder="1"/>
    <xf numFmtId="0" fontId="3" fillId="10" borderId="15" xfId="0" applyFont="1" applyFill="1" applyBorder="1"/>
    <xf numFmtId="0" fontId="3" fillId="10" borderId="13" xfId="0" applyFont="1" applyFill="1" applyBorder="1"/>
    <xf numFmtId="165" fontId="6" fillId="10" borderId="1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13" borderId="1" xfId="0" applyFont="1" applyFill="1" applyBorder="1" applyAlignment="1">
      <alignment horizontal="center"/>
    </xf>
    <xf numFmtId="0" fontId="3" fillId="10" borderId="19" xfId="0" applyFont="1" applyFill="1" applyBorder="1" applyAlignment="1">
      <alignment horizontal="center"/>
    </xf>
    <xf numFmtId="0" fontId="9" fillId="15" borderId="20" xfId="0" applyFont="1" applyFill="1" applyBorder="1" applyAlignment="1">
      <alignment horizontal="center" vertical="center" wrapText="1"/>
    </xf>
    <xf numFmtId="0" fontId="9" fillId="15" borderId="21" xfId="0" applyFont="1" applyFill="1" applyBorder="1" applyAlignment="1">
      <alignment horizontal="center" vertical="center" wrapText="1"/>
    </xf>
    <xf numFmtId="0" fontId="9" fillId="15" borderId="2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165" fontId="6" fillId="8" borderId="2" xfId="0" applyNumberFormat="1" applyFont="1" applyFill="1" applyBorder="1" applyAlignment="1" applyProtection="1">
      <alignment horizontal="center" vertical="center"/>
    </xf>
    <xf numFmtId="165" fontId="6" fillId="8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Protection="1"/>
    <xf numFmtId="165" fontId="6" fillId="0" borderId="1" xfId="0" applyNumberFormat="1" applyFont="1" applyBorder="1" applyAlignment="1" applyProtection="1">
      <alignment horizontal="center"/>
    </xf>
    <xf numFmtId="0" fontId="0" fillId="0" borderId="0" xfId="0" applyBorder="1" applyProtection="1">
      <protection locked="0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5" fontId="6" fillId="1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Protection="1">
      <protection locked="0"/>
    </xf>
    <xf numFmtId="2" fontId="6" fillId="0" borderId="0" xfId="0" applyNumberFormat="1" applyFont="1" applyProtection="1">
      <protection locked="0"/>
    </xf>
    <xf numFmtId="165" fontId="6" fillId="0" borderId="0" xfId="0" applyNumberFormat="1" applyFont="1" applyProtection="1">
      <protection locked="0"/>
    </xf>
    <xf numFmtId="164" fontId="6" fillId="0" borderId="0" xfId="0" applyNumberFormat="1" applyFont="1" applyProtection="1">
      <protection locked="0"/>
    </xf>
    <xf numFmtId="166" fontId="0" fillId="0" borderId="0" xfId="0" applyNumberFormat="1" applyProtection="1">
      <protection locked="0"/>
    </xf>
    <xf numFmtId="2" fontId="6" fillId="0" borderId="1" xfId="0" applyNumberFormat="1" applyFont="1" applyBorder="1" applyAlignment="1" applyProtection="1">
      <alignment horizontal="center"/>
    </xf>
    <xf numFmtId="0" fontId="6" fillId="0" borderId="0" xfId="0" applyFont="1" applyBorder="1" applyProtection="1"/>
    <xf numFmtId="0" fontId="0" fillId="8" borderId="0" xfId="0" applyFill="1" applyBorder="1" applyAlignment="1" applyProtection="1">
      <alignment vertical="center"/>
    </xf>
    <xf numFmtId="0" fontId="0" fillId="0" borderId="0" xfId="0" applyBorder="1" applyProtection="1"/>
    <xf numFmtId="0" fontId="6" fillId="0" borderId="0" xfId="0" applyFont="1" applyProtection="1"/>
    <xf numFmtId="0" fontId="6" fillId="8" borderId="0" xfId="0" applyFont="1" applyFill="1" applyBorder="1" applyAlignment="1" applyProtection="1">
      <alignment horizontal="left" vertical="center"/>
    </xf>
    <xf numFmtId="0" fontId="0" fillId="8" borderId="0" xfId="0" applyFill="1" applyBorder="1" applyAlignment="1" applyProtection="1">
      <alignment horizontal="left" vertical="center"/>
    </xf>
    <xf numFmtId="0" fontId="0" fillId="0" borderId="0" xfId="0" applyProtection="1"/>
    <xf numFmtId="0" fontId="3" fillId="10" borderId="13" xfId="0" applyFont="1" applyFill="1" applyBorder="1" applyProtection="1"/>
    <xf numFmtId="0" fontId="3" fillId="10" borderId="14" xfId="0" applyFont="1" applyFill="1" applyBorder="1" applyProtection="1"/>
    <xf numFmtId="0" fontId="3" fillId="10" borderId="15" xfId="0" applyFont="1" applyFill="1" applyBorder="1" applyProtection="1"/>
    <xf numFmtId="1" fontId="0" fillId="0" borderId="0" xfId="0" applyNumberFormat="1" applyProtection="1"/>
    <xf numFmtId="2" fontId="0" fillId="0" borderId="0" xfId="0" applyNumberFormat="1" applyProtection="1"/>
    <xf numFmtId="0" fontId="0" fillId="0" borderId="1" xfId="0" applyBorder="1" applyAlignment="1" applyProtection="1">
      <alignment horizontal="center"/>
    </xf>
    <xf numFmtId="0" fontId="0" fillId="10" borderId="14" xfId="0" applyFill="1" applyBorder="1" applyProtection="1"/>
    <xf numFmtId="0" fontId="6" fillId="0" borderId="1" xfId="0" applyFont="1" applyFill="1" applyBorder="1" applyAlignment="1" applyProtection="1">
      <alignment horizontal="center" vertical="center"/>
    </xf>
    <xf numFmtId="0" fontId="0" fillId="8" borderId="0" xfId="0" applyFill="1" applyProtection="1">
      <protection locked="0"/>
    </xf>
    <xf numFmtId="0" fontId="0" fillId="10" borderId="1" xfId="0" applyFill="1" applyBorder="1" applyProtection="1">
      <protection locked="0"/>
    </xf>
    <xf numFmtId="0" fontId="0" fillId="14" borderId="1" xfId="0" applyFill="1" applyBorder="1" applyAlignment="1" applyProtection="1">
      <alignment horizontal="center"/>
      <protection locked="0"/>
    </xf>
    <xf numFmtId="0" fontId="0" fillId="0" borderId="1" xfId="0" applyBorder="1" applyProtection="1"/>
    <xf numFmtId="0" fontId="3" fillId="14" borderId="13" xfId="0" applyFont="1" applyFill="1" applyBorder="1" applyProtection="1"/>
    <xf numFmtId="0" fontId="7" fillId="14" borderId="15" xfId="0" applyFont="1" applyFill="1" applyBorder="1" applyProtection="1"/>
    <xf numFmtId="0" fontId="8" fillId="14" borderId="15" xfId="0" applyFont="1" applyFill="1" applyBorder="1" applyProtection="1"/>
    <xf numFmtId="0" fontId="8" fillId="14" borderId="14" xfId="0" applyFont="1" applyFill="1" applyBorder="1" applyProtection="1"/>
    <xf numFmtId="0" fontId="7" fillId="10" borderId="14" xfId="0" applyFont="1" applyFill="1" applyBorder="1" applyProtection="1"/>
    <xf numFmtId="0" fontId="7" fillId="10" borderId="15" xfId="0" applyFont="1" applyFill="1" applyBorder="1" applyProtection="1"/>
    <xf numFmtId="0" fontId="8" fillId="10" borderId="15" xfId="0" applyFont="1" applyFill="1" applyBorder="1" applyProtection="1"/>
    <xf numFmtId="0" fontId="8" fillId="10" borderId="14" xfId="0" applyFont="1" applyFill="1" applyBorder="1" applyProtection="1"/>
    <xf numFmtId="0" fontId="0" fillId="8" borderId="1" xfId="0" applyFill="1" applyBorder="1" applyProtection="1"/>
    <xf numFmtId="0" fontId="4" fillId="8" borderId="5" xfId="0" applyFont="1" applyFill="1" applyBorder="1" applyAlignment="1">
      <alignment horizontal="left" vertical="center"/>
    </xf>
    <xf numFmtId="0" fontId="6" fillId="8" borderId="6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8" borderId="8" xfId="0" applyFont="1" applyFill="1" applyBorder="1" applyAlignment="1">
      <alignment horizontal="left" vertical="center"/>
    </xf>
    <xf numFmtId="0" fontId="6" fillId="8" borderId="0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6" fillId="8" borderId="12" xfId="0" applyFont="1" applyFill="1" applyBorder="1" applyAlignment="1">
      <alignment horizontal="left" vertical="center"/>
    </xf>
    <xf numFmtId="0" fontId="6" fillId="0" borderId="17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165" fontId="6" fillId="10" borderId="17" xfId="0" applyNumberFormat="1" applyFont="1" applyFill="1" applyBorder="1" applyAlignment="1" applyProtection="1">
      <alignment horizontal="center" vertical="center"/>
      <protection locked="0"/>
    </xf>
    <xf numFmtId="165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/>
    </xf>
    <xf numFmtId="0" fontId="5" fillId="8" borderId="5" xfId="0" applyFont="1" applyFill="1" applyBorder="1" applyAlignment="1" applyProtection="1">
      <alignment horizontal="left" vertical="center"/>
    </xf>
    <xf numFmtId="0" fontId="5" fillId="8" borderId="6" xfId="0" applyFont="1" applyFill="1" applyBorder="1" applyAlignment="1" applyProtection="1">
      <alignment horizontal="left" vertical="center"/>
    </xf>
    <xf numFmtId="0" fontId="5" fillId="8" borderId="7" xfId="0" applyFont="1" applyFill="1" applyBorder="1" applyAlignment="1" applyProtection="1">
      <alignment horizontal="left" vertical="center"/>
    </xf>
    <xf numFmtId="0" fontId="5" fillId="8" borderId="8" xfId="0" applyFont="1" applyFill="1" applyBorder="1" applyAlignment="1" applyProtection="1">
      <alignment horizontal="left" vertical="center"/>
    </xf>
    <xf numFmtId="0" fontId="5" fillId="8" borderId="0" xfId="0" applyFont="1" applyFill="1" applyBorder="1" applyAlignment="1" applyProtection="1">
      <alignment horizontal="left" vertical="center"/>
    </xf>
    <xf numFmtId="0" fontId="5" fillId="8" borderId="9" xfId="0" applyFont="1" applyFill="1" applyBorder="1" applyAlignment="1" applyProtection="1">
      <alignment horizontal="left" vertical="center"/>
    </xf>
    <xf numFmtId="0" fontId="5" fillId="8" borderId="10" xfId="0" applyFont="1" applyFill="1" applyBorder="1" applyAlignment="1" applyProtection="1">
      <alignment horizontal="left" vertical="center"/>
    </xf>
    <xf numFmtId="0" fontId="5" fillId="8" borderId="11" xfId="0" applyFont="1" applyFill="1" applyBorder="1" applyAlignment="1" applyProtection="1">
      <alignment horizontal="left" vertical="center"/>
    </xf>
    <xf numFmtId="0" fontId="5" fillId="8" borderId="12" xfId="0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1" fontId="6" fillId="10" borderId="17" xfId="0" applyNumberFormat="1" applyFont="1" applyFill="1" applyBorder="1" applyAlignment="1" applyProtection="1">
      <alignment horizontal="center" vertical="center"/>
      <protection locked="0"/>
    </xf>
    <xf numFmtId="1" fontId="6" fillId="10" borderId="19" xfId="0" applyNumberFormat="1" applyFont="1" applyFill="1" applyBorder="1" applyAlignment="1" applyProtection="1">
      <alignment horizontal="center" vertical="center"/>
      <protection locked="0"/>
    </xf>
    <xf numFmtId="1" fontId="6" fillId="8" borderId="17" xfId="0" applyNumberFormat="1" applyFont="1" applyFill="1" applyBorder="1" applyAlignment="1" applyProtection="1">
      <alignment horizontal="center" vertical="center"/>
    </xf>
    <xf numFmtId="1" fontId="6" fillId="8" borderId="19" xfId="0" applyNumberFormat="1" applyFont="1" applyFill="1" applyBorder="1" applyAlignment="1" applyProtection="1">
      <alignment horizontal="center" vertical="center"/>
    </xf>
    <xf numFmtId="164" fontId="6" fillId="10" borderId="17" xfId="0" applyNumberFormat="1" applyFont="1" applyFill="1" applyBorder="1" applyAlignment="1" applyProtection="1">
      <alignment horizontal="center" vertical="center"/>
      <protection locked="0"/>
    </xf>
    <xf numFmtId="164" fontId="6" fillId="10" borderId="19" xfId="0" applyNumberFormat="1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165" fontId="6" fillId="10" borderId="1" xfId="0" applyNumberFormat="1" applyFont="1" applyFill="1" applyBorder="1" applyAlignment="1" applyProtection="1">
      <alignment horizontal="center" vertical="center"/>
      <protection locked="0"/>
    </xf>
    <xf numFmtId="1" fontId="6" fillId="1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7" xfId="1" applyNumberFormat="1" applyFont="1" applyBorder="1" applyAlignment="1" applyProtection="1">
      <alignment horizontal="center" vertical="center"/>
    </xf>
    <xf numFmtId="2" fontId="6" fillId="0" borderId="19" xfId="1" applyNumberFormat="1" applyFont="1" applyBorder="1" applyAlignment="1" applyProtection="1">
      <alignment horizontal="center" vertical="center"/>
    </xf>
    <xf numFmtId="0" fontId="6" fillId="10" borderId="17" xfId="0" applyFont="1" applyFill="1" applyBorder="1" applyAlignment="1" applyProtection="1">
      <alignment horizontal="center" vertical="center"/>
      <protection locked="0"/>
    </xf>
    <xf numFmtId="0" fontId="6" fillId="10" borderId="19" xfId="0" applyFont="1" applyFill="1" applyBorder="1" applyAlignment="1" applyProtection="1">
      <alignment horizontal="center" vertical="center"/>
      <protection locked="0"/>
    </xf>
    <xf numFmtId="165" fontId="6" fillId="0" borderId="17" xfId="0" applyNumberFormat="1" applyFont="1" applyBorder="1" applyAlignment="1" applyProtection="1">
      <alignment horizontal="center" vertical="center"/>
    </xf>
    <xf numFmtId="165" fontId="6" fillId="0" borderId="19" xfId="0" applyNumberFormat="1" applyFont="1" applyBorder="1" applyAlignment="1" applyProtection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5" fillId="8" borderId="8" xfId="0" applyFont="1" applyFill="1" applyBorder="1" applyAlignment="1">
      <alignment horizontal="left" vertical="center"/>
    </xf>
    <xf numFmtId="0" fontId="5" fillId="8" borderId="0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0" fontId="5" fillId="8" borderId="11" xfId="0" applyFont="1" applyFill="1" applyBorder="1" applyAlignment="1">
      <alignment horizontal="left" vertical="center"/>
    </xf>
    <xf numFmtId="0" fontId="5" fillId="8" borderId="1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2" fontId="6" fillId="0" borderId="17" xfId="1" applyNumberFormat="1" applyFont="1" applyBorder="1" applyAlignment="1">
      <alignment horizontal="center" vertical="center"/>
    </xf>
    <xf numFmtId="2" fontId="6" fillId="0" borderId="19" xfId="1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165" fontId="6" fillId="10" borderId="17" xfId="0" applyNumberFormat="1" applyFont="1" applyFill="1" applyBorder="1" applyAlignment="1">
      <alignment horizontal="center" vertical="center"/>
    </xf>
    <xf numFmtId="165" fontId="6" fillId="10" borderId="19" xfId="0" applyNumberFormat="1" applyFont="1" applyFill="1" applyBorder="1" applyAlignment="1">
      <alignment horizontal="center" vertical="center"/>
    </xf>
    <xf numFmtId="1" fontId="6" fillId="10" borderId="17" xfId="0" applyNumberFormat="1" applyFont="1" applyFill="1" applyBorder="1" applyAlignment="1">
      <alignment horizontal="center" vertical="center"/>
    </xf>
    <xf numFmtId="1" fontId="6" fillId="10" borderId="19" xfId="0" applyNumberFormat="1" applyFont="1" applyFill="1" applyBorder="1" applyAlignment="1">
      <alignment horizontal="center" vertical="center"/>
    </xf>
    <xf numFmtId="1" fontId="6" fillId="8" borderId="17" xfId="0" applyNumberFormat="1" applyFont="1" applyFill="1" applyBorder="1" applyAlignment="1">
      <alignment horizontal="center" vertical="center"/>
    </xf>
    <xf numFmtId="1" fontId="6" fillId="8" borderId="19" xfId="0" applyNumberFormat="1" applyFont="1" applyFill="1" applyBorder="1" applyAlignment="1">
      <alignment horizontal="center" vertical="center"/>
    </xf>
    <xf numFmtId="165" fontId="6" fillId="0" borderId="17" xfId="0" applyNumberFormat="1" applyFont="1" applyBorder="1" applyAlignment="1">
      <alignment horizontal="center" vertical="center"/>
    </xf>
    <xf numFmtId="165" fontId="6" fillId="0" borderId="19" xfId="0" applyNumberFormat="1" applyFont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19" xfId="0" applyFont="1" applyFill="1" applyBorder="1" applyAlignment="1">
      <alignment horizontal="center" vertical="center"/>
    </xf>
    <xf numFmtId="164" fontId="6" fillId="10" borderId="17" xfId="0" applyNumberFormat="1" applyFont="1" applyFill="1" applyBorder="1" applyAlignment="1">
      <alignment horizontal="center" vertical="center"/>
    </xf>
    <xf numFmtId="164" fontId="6" fillId="10" borderId="19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6" fillId="10" borderId="1" xfId="0" applyNumberFormat="1" applyFont="1" applyFill="1" applyBorder="1" applyAlignment="1">
      <alignment horizontal="center" vertical="center"/>
    </xf>
    <xf numFmtId="1" fontId="6" fillId="10" borderId="1" xfId="0" applyNumberFormat="1" applyFont="1" applyFill="1" applyBorder="1" applyAlignment="1">
      <alignment horizontal="center" vertical="center"/>
    </xf>
    <xf numFmtId="0" fontId="3" fillId="4" borderId="16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center"/>
    </xf>
    <xf numFmtId="0" fontId="4" fillId="8" borderId="5" xfId="0" applyFont="1" applyFill="1" applyBorder="1" applyAlignment="1" applyProtection="1">
      <alignment horizontal="left" vertical="center"/>
      <protection locked="0"/>
    </xf>
    <xf numFmtId="0" fontId="6" fillId="8" borderId="6" xfId="0" applyFont="1" applyFill="1" applyBorder="1" applyAlignment="1" applyProtection="1">
      <alignment horizontal="left" vertical="center"/>
      <protection locked="0"/>
    </xf>
    <xf numFmtId="0" fontId="6" fillId="8" borderId="7" xfId="0" applyFont="1" applyFill="1" applyBorder="1" applyAlignment="1" applyProtection="1">
      <alignment horizontal="left" vertical="center"/>
      <protection locked="0"/>
    </xf>
    <xf numFmtId="0" fontId="6" fillId="8" borderId="8" xfId="0" applyFont="1" applyFill="1" applyBorder="1" applyAlignment="1" applyProtection="1">
      <alignment horizontal="left" vertical="center"/>
      <protection locked="0"/>
    </xf>
    <xf numFmtId="0" fontId="6" fillId="8" borderId="0" xfId="0" applyFont="1" applyFill="1" applyBorder="1" applyAlignment="1" applyProtection="1">
      <alignment horizontal="left" vertical="center"/>
      <protection locked="0"/>
    </xf>
    <xf numFmtId="0" fontId="6" fillId="8" borderId="9" xfId="0" applyFont="1" applyFill="1" applyBorder="1" applyAlignment="1" applyProtection="1">
      <alignment horizontal="left" vertical="center"/>
      <protection locked="0"/>
    </xf>
    <xf numFmtId="0" fontId="6" fillId="8" borderId="10" xfId="0" applyFont="1" applyFill="1" applyBorder="1" applyAlignment="1" applyProtection="1">
      <alignment horizontal="left" vertical="center"/>
      <protection locked="0"/>
    </xf>
    <xf numFmtId="0" fontId="6" fillId="8" borderId="11" xfId="0" applyFont="1" applyFill="1" applyBorder="1" applyAlignment="1" applyProtection="1">
      <alignment horizontal="left" vertical="center"/>
      <protection locked="0"/>
    </xf>
    <xf numFmtId="0" fontId="6" fillId="8" borderId="12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center" vertical="center"/>
    </xf>
    <xf numFmtId="0" fontId="0" fillId="10" borderId="1" xfId="0" applyFill="1" applyBorder="1" applyAlignment="1" applyProtection="1">
      <alignment horizontal="center"/>
      <protection locked="0"/>
    </xf>
    <xf numFmtId="0" fontId="11" fillId="0" borderId="24" xfId="0" applyFont="1" applyBorder="1" applyAlignment="1">
      <alignment vertical="center" wrapText="1"/>
    </xf>
    <xf numFmtId="0" fontId="11" fillId="0" borderId="23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4" fillId="0" borderId="0" xfId="0" applyFo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EA6111"/>
      <color rgb="FFF6DC1A"/>
      <color rgb="FFFF6161"/>
      <color rgb="FF008A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Urbà!$B$25</c:f>
              <c:strCache>
                <c:ptCount val="1"/>
                <c:pt idx="0">
                  <c:v>Convencional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Urbà!$D$24:$K$24</c:f>
              <c:strCache>
                <c:ptCount val="8"/>
                <c:pt idx="0">
                  <c:v>12500 km/any</c:v>
                </c:pt>
                <c:pt idx="1">
                  <c:v>25000 km/any</c:v>
                </c:pt>
                <c:pt idx="2">
                  <c:v>37500 km/any</c:v>
                </c:pt>
                <c:pt idx="3">
                  <c:v>50000 km/any</c:v>
                </c:pt>
                <c:pt idx="4">
                  <c:v>62500 km/any</c:v>
                </c:pt>
                <c:pt idx="5">
                  <c:v>75000 km/any</c:v>
                </c:pt>
                <c:pt idx="6">
                  <c:v>87500 km/any</c:v>
                </c:pt>
                <c:pt idx="7">
                  <c:v>100000 km/any</c:v>
                </c:pt>
              </c:strCache>
            </c:strRef>
          </c:cat>
          <c:val>
            <c:numRef>
              <c:f>Urbà!$C$25:$J$25</c:f>
              <c:numCache>
                <c:formatCode>#,##0\ "€"</c:formatCode>
                <c:ptCount val="8"/>
                <c:pt idx="0">
                  <c:v>23856.52</c:v>
                </c:pt>
                <c:pt idx="1">
                  <c:v>32903.148309263852</c:v>
                </c:pt>
                <c:pt idx="2">
                  <c:v>41949.7766185277</c:v>
                </c:pt>
                <c:pt idx="3">
                  <c:v>50996.404927791547</c:v>
                </c:pt>
                <c:pt idx="4">
                  <c:v>60043.033237055395</c:v>
                </c:pt>
                <c:pt idx="5">
                  <c:v>69089.661546319243</c:v>
                </c:pt>
                <c:pt idx="6">
                  <c:v>78136.289855583091</c:v>
                </c:pt>
                <c:pt idx="7">
                  <c:v>87182.918164846938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93-4B27-B974-2E3868F649DD}"/>
            </c:ext>
          </c:extLst>
        </c:ser>
        <c:ser>
          <c:idx val="1"/>
          <c:order val="1"/>
          <c:tx>
            <c:strRef>
              <c:f>Urbà!$B$26</c:f>
              <c:strCache>
                <c:ptCount val="1"/>
                <c:pt idx="0">
                  <c:v>Elèctric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Urbà!$D$24:$K$24</c:f>
              <c:strCache>
                <c:ptCount val="8"/>
                <c:pt idx="0">
                  <c:v>12500 km/any</c:v>
                </c:pt>
                <c:pt idx="1">
                  <c:v>25000 km/any</c:v>
                </c:pt>
                <c:pt idx="2">
                  <c:v>37500 km/any</c:v>
                </c:pt>
                <c:pt idx="3">
                  <c:v>50000 km/any</c:v>
                </c:pt>
                <c:pt idx="4">
                  <c:v>62500 km/any</c:v>
                </c:pt>
                <c:pt idx="5">
                  <c:v>75000 km/any</c:v>
                </c:pt>
                <c:pt idx="6">
                  <c:v>87500 km/any</c:v>
                </c:pt>
                <c:pt idx="7">
                  <c:v>100000 km/any</c:v>
                </c:pt>
              </c:strCache>
            </c:strRef>
          </c:cat>
          <c:val>
            <c:numRef>
              <c:f>Urbà!$C$26:$J$26</c:f>
              <c:numCache>
                <c:formatCode>#,##0\ "€"</c:formatCode>
                <c:ptCount val="8"/>
                <c:pt idx="0">
                  <c:v>61320</c:v>
                </c:pt>
                <c:pt idx="1">
                  <c:v>63425.907656860647</c:v>
                </c:pt>
                <c:pt idx="2">
                  <c:v>65531.815313721287</c:v>
                </c:pt>
                <c:pt idx="3">
                  <c:v>67637.722970581934</c:v>
                </c:pt>
                <c:pt idx="4">
                  <c:v>69743.630627442573</c:v>
                </c:pt>
                <c:pt idx="5">
                  <c:v>71849.538284303213</c:v>
                </c:pt>
                <c:pt idx="6">
                  <c:v>73955.445941163867</c:v>
                </c:pt>
                <c:pt idx="7">
                  <c:v>76061.353598024507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93-4B27-B974-2E3868F649DD}"/>
            </c:ext>
          </c:extLst>
        </c:ser>
        <c:ser>
          <c:idx val="2"/>
          <c:order val="2"/>
          <c:tx>
            <c:strRef>
              <c:f>Urbà!$B$27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Urbà!$D$24:$K$24</c:f>
              <c:strCache>
                <c:ptCount val="8"/>
                <c:pt idx="0">
                  <c:v>12500 km/any</c:v>
                </c:pt>
                <c:pt idx="1">
                  <c:v>25000 km/any</c:v>
                </c:pt>
                <c:pt idx="2">
                  <c:v>37500 km/any</c:v>
                </c:pt>
                <c:pt idx="3">
                  <c:v>50000 km/any</c:v>
                </c:pt>
                <c:pt idx="4">
                  <c:v>62500 km/any</c:v>
                </c:pt>
                <c:pt idx="5">
                  <c:v>75000 km/any</c:v>
                </c:pt>
                <c:pt idx="6">
                  <c:v>87500 km/any</c:v>
                </c:pt>
                <c:pt idx="7">
                  <c:v>100000 km/any</c:v>
                </c:pt>
              </c:strCache>
            </c:strRef>
          </c:cat>
          <c:val>
            <c:numRef>
              <c:f>Urbà!$C$27:$J$27</c:f>
              <c:numCache>
                <c:formatCode>#,##0\ "€"</c:formatCode>
                <c:ptCount val="8"/>
                <c:pt idx="0">
                  <c:v>25000</c:v>
                </c:pt>
                <c:pt idx="1">
                  <c:v>28193.959946238643</c:v>
                </c:pt>
                <c:pt idx="2">
                  <c:v>31387.919892477286</c:v>
                </c:pt>
                <c:pt idx="3">
                  <c:v>34581.879838715926</c:v>
                </c:pt>
                <c:pt idx="4">
                  <c:v>37775.839784954573</c:v>
                </c:pt>
                <c:pt idx="5">
                  <c:v>40969.799731193212</c:v>
                </c:pt>
                <c:pt idx="6">
                  <c:v>44163.759677431852</c:v>
                </c:pt>
                <c:pt idx="7">
                  <c:v>47357.719623670499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193-4B27-B974-2E3868F649DD}"/>
            </c:ext>
          </c:extLst>
        </c:ser>
        <c:ser>
          <c:idx val="3"/>
          <c:order val="3"/>
          <c:tx>
            <c:strRef>
              <c:f>Urbà!$B$28</c:f>
              <c:strCache>
                <c:ptCount val="1"/>
                <c:pt idx="0">
                  <c:v>Híbrid elèctric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Urbà!$D$24:$K$24</c:f>
              <c:strCache>
                <c:ptCount val="8"/>
                <c:pt idx="0">
                  <c:v>12500 km/any</c:v>
                </c:pt>
                <c:pt idx="1">
                  <c:v>25000 km/any</c:v>
                </c:pt>
                <c:pt idx="2">
                  <c:v>37500 km/any</c:v>
                </c:pt>
                <c:pt idx="3">
                  <c:v>50000 km/any</c:v>
                </c:pt>
                <c:pt idx="4">
                  <c:v>62500 km/any</c:v>
                </c:pt>
                <c:pt idx="5">
                  <c:v>75000 km/any</c:v>
                </c:pt>
                <c:pt idx="6">
                  <c:v>87500 km/any</c:v>
                </c:pt>
                <c:pt idx="7">
                  <c:v>100000 km/any</c:v>
                </c:pt>
              </c:strCache>
            </c:strRef>
          </c:cat>
          <c:val>
            <c:numRef>
              <c:f>Urbà!$C$28:$J$28</c:f>
              <c:numCache>
                <c:formatCode>#,##0\ "€"</c:formatCode>
                <c:ptCount val="8"/>
                <c:pt idx="0">
                  <c:v>36118</c:v>
                </c:pt>
                <c:pt idx="1">
                  <c:v>43807.634062874269</c:v>
                </c:pt>
                <c:pt idx="2">
                  <c:v>51497.268125748538</c:v>
                </c:pt>
                <c:pt idx="3">
                  <c:v>59186.902188622815</c:v>
                </c:pt>
                <c:pt idx="4">
                  <c:v>66876.536251497077</c:v>
                </c:pt>
                <c:pt idx="5">
                  <c:v>74566.170314371353</c:v>
                </c:pt>
                <c:pt idx="6">
                  <c:v>82255.804377245629</c:v>
                </c:pt>
                <c:pt idx="7">
                  <c:v>89945.438440119906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193-4B27-B974-2E3868F649DD}"/>
            </c:ext>
          </c:extLst>
        </c:ser>
        <c:ser>
          <c:idx val="5"/>
          <c:order val="4"/>
          <c:tx>
            <c:strRef>
              <c:f>Urbà!$B$29</c:f>
              <c:strCache>
                <c:ptCount val="1"/>
                <c:pt idx="0">
                  <c:v>Hidrogen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Urbà!$D$24:$K$24</c:f>
              <c:strCache>
                <c:ptCount val="8"/>
                <c:pt idx="0">
                  <c:v>12500 km/any</c:v>
                </c:pt>
                <c:pt idx="1">
                  <c:v>25000 km/any</c:v>
                </c:pt>
                <c:pt idx="2">
                  <c:v>37500 km/any</c:v>
                </c:pt>
                <c:pt idx="3">
                  <c:v>50000 km/any</c:v>
                </c:pt>
                <c:pt idx="4">
                  <c:v>62500 km/any</c:v>
                </c:pt>
                <c:pt idx="5">
                  <c:v>75000 km/any</c:v>
                </c:pt>
                <c:pt idx="6">
                  <c:v>87500 km/any</c:v>
                </c:pt>
                <c:pt idx="7">
                  <c:v>100000 km/any</c:v>
                </c:pt>
              </c:strCache>
            </c:strRef>
          </c:cat>
          <c:val>
            <c:numRef>
              <c:f>Urbà!$C$29:$J$29</c:f>
              <c:numCache>
                <c:formatCode>#,##0\ "€"</c:formatCode>
                <c:ptCount val="8"/>
                <c:pt idx="0">
                  <c:v>48300</c:v>
                </c:pt>
                <c:pt idx="1">
                  <c:v>55319.692189535475</c:v>
                </c:pt>
                <c:pt idx="2">
                  <c:v>62339.384379070951</c:v>
                </c:pt>
                <c:pt idx="3">
                  <c:v>69359.076568606426</c:v>
                </c:pt>
                <c:pt idx="4">
                  <c:v>76378.768758141901</c:v>
                </c:pt>
                <c:pt idx="5">
                  <c:v>83398.460947677391</c:v>
                </c:pt>
                <c:pt idx="6">
                  <c:v>90418.153137212867</c:v>
                </c:pt>
                <c:pt idx="7">
                  <c:v>97437.845326748356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193-4B27-B974-2E3868F64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214824"/>
        <c:axId val="280215216"/>
      </c:barChart>
      <c:catAx>
        <c:axId val="28021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215216"/>
        <c:crosses val="autoZero"/>
        <c:auto val="1"/>
        <c:lblAlgn val="ctr"/>
        <c:lblOffset val="100"/>
        <c:noMultiLvlLbl val="0"/>
      </c:catAx>
      <c:valAx>
        <c:axId val="2802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21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Interurbà!$B$25</c:f>
              <c:strCache>
                <c:ptCount val="1"/>
                <c:pt idx="0">
                  <c:v>Convencional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Interurbà!$C$24:$K$24</c:f>
              <c:strCache>
                <c:ptCount val="9"/>
                <c:pt idx="0">
                  <c:v>0 km/any</c:v>
                </c:pt>
                <c:pt idx="1">
                  <c:v>12500 km/any</c:v>
                </c:pt>
                <c:pt idx="2">
                  <c:v>25000 km/any</c:v>
                </c:pt>
                <c:pt idx="3">
                  <c:v>37500 km/any</c:v>
                </c:pt>
                <c:pt idx="4">
                  <c:v>50000 km/any</c:v>
                </c:pt>
                <c:pt idx="5">
                  <c:v>62500 km/any</c:v>
                </c:pt>
                <c:pt idx="6">
                  <c:v>75000 km/any</c:v>
                </c:pt>
                <c:pt idx="7">
                  <c:v>87500 km/any</c:v>
                </c:pt>
                <c:pt idx="8">
                  <c:v>100000 km/any</c:v>
                </c:pt>
              </c:strCache>
            </c:strRef>
          </c:cat>
          <c:val>
            <c:numRef>
              <c:f>Interurbà!$C$25:$K$25</c:f>
              <c:numCache>
                <c:formatCode>#,##0\ "€"</c:formatCode>
                <c:ptCount val="9"/>
                <c:pt idx="0">
                  <c:v>95577</c:v>
                </c:pt>
                <c:pt idx="1">
                  <c:v>165184.81376159919</c:v>
                </c:pt>
                <c:pt idx="2">
                  <c:v>234792.6275231984</c:v>
                </c:pt>
                <c:pt idx="3">
                  <c:v>304400.44128479756</c:v>
                </c:pt>
                <c:pt idx="4">
                  <c:v>374008.25504639681</c:v>
                </c:pt>
                <c:pt idx="5">
                  <c:v>443616.06880799599</c:v>
                </c:pt>
                <c:pt idx="6">
                  <c:v>513223.88256959512</c:v>
                </c:pt>
                <c:pt idx="7">
                  <c:v>582831.69633119437</c:v>
                </c:pt>
                <c:pt idx="8">
                  <c:v>652439.51009279361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6C4-4C0F-8823-7EB62EBF9A33}"/>
            </c:ext>
          </c:extLst>
        </c:ser>
        <c:ser>
          <c:idx val="1"/>
          <c:order val="1"/>
          <c:tx>
            <c:strRef>
              <c:f>Interurbà!$B$26</c:f>
              <c:strCache>
                <c:ptCount val="1"/>
                <c:pt idx="0">
                  <c:v>Elèctric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Interurbà!$C$26:$K$26</c:f>
              <c:numCache>
                <c:formatCode>#,##0\ "€"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6C4-4C0F-8823-7EB62EBF9A33}"/>
            </c:ext>
          </c:extLst>
        </c:ser>
        <c:ser>
          <c:idx val="2"/>
          <c:order val="2"/>
          <c:tx>
            <c:strRef>
              <c:f>Interurbà!$B$27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val>
            <c:numRef>
              <c:f>Interurbà!$C$27:$K$27</c:f>
              <c:numCache>
                <c:formatCode>#,##0\ "€"</c:formatCode>
                <c:ptCount val="9"/>
                <c:pt idx="0">
                  <c:v>160000</c:v>
                </c:pt>
                <c:pt idx="1">
                  <c:v>194920.69851462779</c:v>
                </c:pt>
                <c:pt idx="2">
                  <c:v>229841.39702925558</c:v>
                </c:pt>
                <c:pt idx="3">
                  <c:v>264762.09554388333</c:v>
                </c:pt>
                <c:pt idx="4">
                  <c:v>299682.79405851115</c:v>
                </c:pt>
                <c:pt idx="5">
                  <c:v>334603.49257313897</c:v>
                </c:pt>
                <c:pt idx="6">
                  <c:v>369524.19108776667</c:v>
                </c:pt>
                <c:pt idx="7">
                  <c:v>404444.88960239448</c:v>
                </c:pt>
                <c:pt idx="8">
                  <c:v>439365.58811702224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6C4-4C0F-8823-7EB62EBF9A33}"/>
            </c:ext>
          </c:extLst>
        </c:ser>
        <c:ser>
          <c:idx val="3"/>
          <c:order val="3"/>
          <c:tx>
            <c:strRef>
              <c:f>Interurbà!$B$28</c:f>
              <c:strCache>
                <c:ptCount val="1"/>
                <c:pt idx="0">
                  <c:v>Híbrid elèctric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val>
            <c:numRef>
              <c:f>Interurbà!$C$28:$K$28</c:f>
              <c:numCache>
                <c:formatCode>#,##0\ "€"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6C4-4C0F-8823-7EB62EBF9A33}"/>
            </c:ext>
          </c:extLst>
        </c:ser>
        <c:ser>
          <c:idx val="4"/>
          <c:order val="4"/>
          <c:tx>
            <c:strRef>
              <c:f>Interurbà!$B$29</c:f>
              <c:strCache>
                <c:ptCount val="1"/>
                <c:pt idx="0">
                  <c:v>Hidrogen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val>
            <c:numRef>
              <c:f>Interurbà!$C$29:$K$29</c:f>
              <c:numCache>
                <c:formatCode>#,##0\ "€"</c:formatCode>
                <c:ptCount val="9"/>
                <c:pt idx="0">
                  <c:v>200000</c:v>
                </c:pt>
                <c:pt idx="1">
                  <c:v>262296.65748395474</c:v>
                </c:pt>
                <c:pt idx="2">
                  <c:v>324593.31496790942</c:v>
                </c:pt>
                <c:pt idx="3">
                  <c:v>386889.97245186416</c:v>
                </c:pt>
                <c:pt idx="4">
                  <c:v>449186.62993581884</c:v>
                </c:pt>
                <c:pt idx="5">
                  <c:v>511483.2874197737</c:v>
                </c:pt>
                <c:pt idx="6">
                  <c:v>573779.94490372832</c:v>
                </c:pt>
                <c:pt idx="7">
                  <c:v>636076.602387683</c:v>
                </c:pt>
                <c:pt idx="8">
                  <c:v>698373.25987163768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6C4-4C0F-8823-7EB62EBF9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0216000"/>
        <c:axId val="280216392"/>
      </c:barChart>
      <c:catAx>
        <c:axId val="28021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280216392"/>
        <c:crosses val="autoZero"/>
        <c:auto val="1"/>
        <c:lblAlgn val="ctr"/>
        <c:lblOffset val="100"/>
        <c:noMultiLvlLbl val="0"/>
      </c:catAx>
      <c:valAx>
        <c:axId val="280216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&quot;€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ource Sans Pro" panose="020B0503030403020204" pitchFamily="34" charset="0"/>
                <a:ea typeface="+mn-ea"/>
                <a:cs typeface="+mn-cs"/>
              </a:defRPr>
            </a:pPr>
            <a:endParaRPr lang="es-ES"/>
          </a:p>
        </c:txPr>
        <c:crossAx val="28021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ource Sans Pro" panose="020B0503030403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ource Sans Pro" panose="020B0503030403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'Produccio diària'!$A$4:$A$43</c:f>
              <c:numCache>
                <c:formatCode>General</c:formatCode>
                <c:ptCount val="40"/>
                <c:pt idx="0">
                  <c:v>0.25</c:v>
                </c:pt>
                <c:pt idx="1">
                  <c:v>0.5</c:v>
                </c:pt>
                <c:pt idx="2">
                  <c:v>0.75</c:v>
                </c:pt>
                <c:pt idx="3">
                  <c:v>1</c:v>
                </c:pt>
                <c:pt idx="4">
                  <c:v>1.25</c:v>
                </c:pt>
                <c:pt idx="5">
                  <c:v>1.5</c:v>
                </c:pt>
                <c:pt idx="6">
                  <c:v>1.75</c:v>
                </c:pt>
                <c:pt idx="7">
                  <c:v>2</c:v>
                </c:pt>
                <c:pt idx="8">
                  <c:v>2.25</c:v>
                </c:pt>
                <c:pt idx="9">
                  <c:v>2.5</c:v>
                </c:pt>
                <c:pt idx="10">
                  <c:v>2.75</c:v>
                </c:pt>
                <c:pt idx="11">
                  <c:v>3</c:v>
                </c:pt>
                <c:pt idx="12">
                  <c:v>3.25</c:v>
                </c:pt>
                <c:pt idx="13">
                  <c:v>3.5</c:v>
                </c:pt>
                <c:pt idx="14">
                  <c:v>3.75</c:v>
                </c:pt>
                <c:pt idx="15">
                  <c:v>4</c:v>
                </c:pt>
                <c:pt idx="16">
                  <c:v>4.25</c:v>
                </c:pt>
                <c:pt idx="17">
                  <c:v>4.5</c:v>
                </c:pt>
                <c:pt idx="18">
                  <c:v>4.75</c:v>
                </c:pt>
                <c:pt idx="19">
                  <c:v>5</c:v>
                </c:pt>
                <c:pt idx="20">
                  <c:v>5.25</c:v>
                </c:pt>
                <c:pt idx="21">
                  <c:v>5.5</c:v>
                </c:pt>
                <c:pt idx="22">
                  <c:v>5.75</c:v>
                </c:pt>
                <c:pt idx="23">
                  <c:v>6</c:v>
                </c:pt>
                <c:pt idx="24">
                  <c:v>6.25</c:v>
                </c:pt>
                <c:pt idx="25">
                  <c:v>6.5</c:v>
                </c:pt>
                <c:pt idx="26">
                  <c:v>6.75</c:v>
                </c:pt>
                <c:pt idx="27">
                  <c:v>7</c:v>
                </c:pt>
                <c:pt idx="28">
                  <c:v>7.25</c:v>
                </c:pt>
                <c:pt idx="29">
                  <c:v>7.5</c:v>
                </c:pt>
                <c:pt idx="30">
                  <c:v>7.75</c:v>
                </c:pt>
                <c:pt idx="31">
                  <c:v>8</c:v>
                </c:pt>
                <c:pt idx="32">
                  <c:v>8.25</c:v>
                </c:pt>
                <c:pt idx="33">
                  <c:v>8.5</c:v>
                </c:pt>
                <c:pt idx="34">
                  <c:v>8.75</c:v>
                </c:pt>
                <c:pt idx="35">
                  <c:v>9</c:v>
                </c:pt>
                <c:pt idx="36">
                  <c:v>9.25</c:v>
                </c:pt>
                <c:pt idx="37">
                  <c:v>9.5</c:v>
                </c:pt>
                <c:pt idx="38">
                  <c:v>9.75</c:v>
                </c:pt>
                <c:pt idx="39">
                  <c:v>10</c:v>
                </c:pt>
              </c:numCache>
            </c:numRef>
          </c:cat>
          <c:val>
            <c:numRef>
              <c:f>'Produccio diària'!$E$4:$E$43</c:f>
              <c:numCache>
                <c:formatCode>General</c:formatCode>
                <c:ptCount val="40"/>
                <c:pt idx="0">
                  <c:v>12.5</c:v>
                </c:pt>
                <c:pt idx="1">
                  <c:v>25</c:v>
                </c:pt>
                <c:pt idx="2">
                  <c:v>37.5</c:v>
                </c:pt>
                <c:pt idx="3">
                  <c:v>50</c:v>
                </c:pt>
                <c:pt idx="4">
                  <c:v>62.5</c:v>
                </c:pt>
                <c:pt idx="5">
                  <c:v>75</c:v>
                </c:pt>
                <c:pt idx="6">
                  <c:v>87.5</c:v>
                </c:pt>
                <c:pt idx="7">
                  <c:v>87.5</c:v>
                </c:pt>
                <c:pt idx="8">
                  <c:v>87.5</c:v>
                </c:pt>
                <c:pt idx="9">
                  <c:v>87.5</c:v>
                </c:pt>
                <c:pt idx="10">
                  <c:v>87.5</c:v>
                </c:pt>
                <c:pt idx="11">
                  <c:v>100</c:v>
                </c:pt>
                <c:pt idx="12">
                  <c:v>112.5</c:v>
                </c:pt>
                <c:pt idx="13">
                  <c:v>125</c:v>
                </c:pt>
                <c:pt idx="14">
                  <c:v>137.5</c:v>
                </c:pt>
                <c:pt idx="15">
                  <c:v>150</c:v>
                </c:pt>
                <c:pt idx="16">
                  <c:v>162.5</c:v>
                </c:pt>
                <c:pt idx="17">
                  <c:v>175</c:v>
                </c:pt>
                <c:pt idx="18">
                  <c:v>175</c:v>
                </c:pt>
                <c:pt idx="19">
                  <c:v>175</c:v>
                </c:pt>
                <c:pt idx="20">
                  <c:v>175</c:v>
                </c:pt>
                <c:pt idx="21">
                  <c:v>175</c:v>
                </c:pt>
                <c:pt idx="22">
                  <c:v>187.5</c:v>
                </c:pt>
                <c:pt idx="23">
                  <c:v>200</c:v>
                </c:pt>
                <c:pt idx="24">
                  <c:v>212.5</c:v>
                </c:pt>
                <c:pt idx="25">
                  <c:v>225</c:v>
                </c:pt>
                <c:pt idx="26">
                  <c:v>237.5</c:v>
                </c:pt>
                <c:pt idx="27">
                  <c:v>250</c:v>
                </c:pt>
                <c:pt idx="28">
                  <c:v>262.5</c:v>
                </c:pt>
                <c:pt idx="29">
                  <c:v>262.5</c:v>
                </c:pt>
                <c:pt idx="30">
                  <c:v>262.5</c:v>
                </c:pt>
                <c:pt idx="31">
                  <c:v>262.5</c:v>
                </c:pt>
                <c:pt idx="32">
                  <c:v>262.5</c:v>
                </c:pt>
                <c:pt idx="33">
                  <c:v>275</c:v>
                </c:pt>
                <c:pt idx="34">
                  <c:v>287.5</c:v>
                </c:pt>
                <c:pt idx="35">
                  <c:v>300</c:v>
                </c:pt>
                <c:pt idx="36">
                  <c:v>312.5</c:v>
                </c:pt>
                <c:pt idx="37">
                  <c:v>325</c:v>
                </c:pt>
                <c:pt idx="38">
                  <c:v>337.5</c:v>
                </c:pt>
                <c:pt idx="39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1B-584F-A100-3E112FA07750}"/>
            </c:ext>
          </c:extLst>
        </c:ser>
        <c:ser>
          <c:idx val="1"/>
          <c:order val="1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'Produccio diària'!$I$4:$I$43</c:f>
              <c:numCache>
                <c:formatCode>General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87.5</c:v>
                </c:pt>
                <c:pt idx="7">
                  <c:v>87.5</c:v>
                </c:pt>
                <c:pt idx="8">
                  <c:v>87.5</c:v>
                </c:pt>
                <c:pt idx="9">
                  <c:v>87.5</c:v>
                </c:pt>
                <c:pt idx="10">
                  <c:v>87.5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175</c:v>
                </c:pt>
                <c:pt idx="18">
                  <c:v>175</c:v>
                </c:pt>
                <c:pt idx="19">
                  <c:v>175</c:v>
                </c:pt>
                <c:pt idx="20">
                  <c:v>175</c:v>
                </c:pt>
                <c:pt idx="21">
                  <c:v>175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262.5</c:v>
                </c:pt>
                <c:pt idx="29">
                  <c:v>262.5</c:v>
                </c:pt>
                <c:pt idx="30">
                  <c:v>262.5</c:v>
                </c:pt>
                <c:pt idx="31">
                  <c:v>262.5</c:v>
                </c:pt>
                <c:pt idx="32">
                  <c:v>262.5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1B-584F-A100-3E112FA07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996175"/>
        <c:axId val="154995247"/>
      </c:lineChart>
      <c:catAx>
        <c:axId val="1569961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r>
                  <a:rPr lang="es-ES_tradnl"/>
                  <a:t>Jornada laboral (h)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ource Sans Pro" panose="020B0503030403020204" pitchFamily="34" charset="0"/>
                  <a:ea typeface="Source Sans Pro" panose="020B0503030403020204" pitchFamily="34" charset="0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s-ES"/>
          </a:p>
        </c:txPr>
        <c:crossAx val="154995247"/>
        <c:crosses val="autoZero"/>
        <c:auto val="1"/>
        <c:lblAlgn val="ctr"/>
        <c:lblOffset val="100"/>
        <c:noMultiLvlLbl val="0"/>
      </c:catAx>
      <c:valAx>
        <c:axId val="154995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Source Sans Pro" panose="020B0503030403020204" pitchFamily="34" charset="0"/>
                    <a:ea typeface="Source Sans Pro" panose="020B0503030403020204" pitchFamily="34" charset="0"/>
                    <a:cs typeface="+mn-cs"/>
                  </a:defRPr>
                </a:pPr>
                <a:r>
                  <a:rPr lang="es-ES_tradnl"/>
                  <a:t>Quilòmetres diàris (km)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Source Sans Pro" panose="020B0503030403020204" pitchFamily="34" charset="0"/>
                  <a:ea typeface="Source Sans Pro" panose="020B0503030403020204" pitchFamily="34" charset="0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ource Sans Pro" panose="020B0503030403020204" pitchFamily="34" charset="0"/>
                <a:ea typeface="Source Sans Pro" panose="020B0503030403020204" pitchFamily="34" charset="0"/>
                <a:cs typeface="+mn-cs"/>
              </a:defRPr>
            </a:pPr>
            <a:endParaRPr lang="es-ES"/>
          </a:p>
        </c:txPr>
        <c:crossAx val="156996175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latin typeface="Source Sans Pro" panose="020B0503030403020204" pitchFamily="34" charset="0"/>
          <a:ea typeface="Source Sans Pro" panose="020B0503030403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Emissions</a:t>
            </a:r>
            <a:r>
              <a:rPr lang="es-ES" baseline="0">
                <a:solidFill>
                  <a:sysClr val="windowText" lastClr="000000"/>
                </a:solidFill>
              </a:rPr>
              <a:t> GEH</a:t>
            </a:r>
            <a:endParaRPr lang="es-ES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Emissions!$M$12</c:f>
              <c:strCache>
                <c:ptCount val="1"/>
                <c:pt idx="0">
                  <c:v>Convencional (dièsel)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Emissions!$L$13</c:f>
              <c:strCache>
                <c:ptCount val="1"/>
                <c:pt idx="0">
                  <c:v>CO2 eq kg/km</c:v>
                </c:pt>
              </c:strCache>
            </c:strRef>
          </c:cat>
          <c:val>
            <c:numRef>
              <c:f>Emissions!$M$13</c:f>
              <c:numCache>
                <c:formatCode>General</c:formatCode>
                <c:ptCount val="1"/>
                <c:pt idx="0">
                  <c:v>28204.000000000004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0-46BA-BC4E-6F3FD28446A2}"/>
            </c:ext>
          </c:extLst>
        </c:ser>
        <c:ser>
          <c:idx val="1"/>
          <c:order val="1"/>
          <c:tx>
            <c:strRef>
              <c:f>Emissions!$N$12</c:f>
              <c:strCache>
                <c:ptCount val="1"/>
                <c:pt idx="0">
                  <c:v>Elèctric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Emissions!$L$13</c:f>
              <c:strCache>
                <c:ptCount val="1"/>
                <c:pt idx="0">
                  <c:v>CO2 eq kg/km</c:v>
                </c:pt>
              </c:strCache>
            </c:strRef>
          </c:cat>
          <c:val>
            <c:numRef>
              <c:f>Emissions!$N$13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70-46BA-BC4E-6F3FD28446A2}"/>
            </c:ext>
          </c:extLst>
        </c:ser>
        <c:ser>
          <c:idx val="2"/>
          <c:order val="2"/>
          <c:tx>
            <c:strRef>
              <c:f>Emissions!$O$12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Emissions!$L$13</c:f>
              <c:strCache>
                <c:ptCount val="1"/>
                <c:pt idx="0">
                  <c:v>CO2 eq kg/km</c:v>
                </c:pt>
              </c:strCache>
            </c:strRef>
          </c:cat>
          <c:val>
            <c:numRef>
              <c:f>Emissions!$O$13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70-46BA-BC4E-6F3FD28446A2}"/>
            </c:ext>
          </c:extLst>
        </c:ser>
        <c:ser>
          <c:idx val="3"/>
          <c:order val="3"/>
          <c:tx>
            <c:strRef>
              <c:f>Emissions!$P$12</c:f>
              <c:strCache>
                <c:ptCount val="1"/>
                <c:pt idx="0">
                  <c:v>Híbrid elèctric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Emissions!$L$13</c:f>
              <c:strCache>
                <c:ptCount val="1"/>
                <c:pt idx="0">
                  <c:v>CO2 eq kg/km</c:v>
                </c:pt>
              </c:strCache>
            </c:strRef>
          </c:cat>
          <c:val>
            <c:numRef>
              <c:f>Emissions!$P$13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70-46BA-BC4E-6F3FD28446A2}"/>
            </c:ext>
          </c:extLst>
        </c:ser>
        <c:ser>
          <c:idx val="4"/>
          <c:order val="4"/>
          <c:tx>
            <c:strRef>
              <c:f>Emissions!$Q$12</c:f>
              <c:strCache>
                <c:ptCount val="1"/>
                <c:pt idx="0">
                  <c:v>Hidrogen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Emissions!$L$13</c:f>
              <c:strCache>
                <c:ptCount val="1"/>
                <c:pt idx="0">
                  <c:v>CO2 eq kg/km</c:v>
                </c:pt>
              </c:strCache>
            </c:strRef>
          </c:cat>
          <c:val>
            <c:numRef>
              <c:f>Emissions!$Q$13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70-46BA-BC4E-6F3FD2844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90807359"/>
        <c:axId val="1179772975"/>
      </c:barChart>
      <c:catAx>
        <c:axId val="129080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9772975"/>
        <c:crosses val="autoZero"/>
        <c:auto val="1"/>
        <c:lblAlgn val="ctr"/>
        <c:lblOffset val="100"/>
        <c:noMultiLvlLbl val="0"/>
      </c:catAx>
      <c:valAx>
        <c:axId val="11797729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9080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>
                <a:solidFill>
                  <a:sysClr val="windowText" lastClr="000000"/>
                </a:solidFill>
              </a:rPr>
              <a:t>Emissions locals</a:t>
            </a:r>
          </a:p>
        </c:rich>
      </c:tx>
      <c:layout>
        <c:manualLayout>
          <c:xMode val="edge"/>
          <c:yMode val="edge"/>
          <c:x val="0.3649547668754349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Emissions!$M$12</c:f>
              <c:strCache>
                <c:ptCount val="1"/>
                <c:pt idx="0">
                  <c:v>Convencional (dièsel)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Emissions!$L$14:$L$15</c:f>
              <c:strCache>
                <c:ptCount val="2"/>
                <c:pt idx="0">
                  <c:v>NOx kg/km</c:v>
                </c:pt>
                <c:pt idx="1">
                  <c:v>PM10 total kg/km</c:v>
                </c:pt>
              </c:strCache>
            </c:strRef>
          </c:cat>
          <c:val>
            <c:numRef>
              <c:f>Emissions!$M$14:$M$15</c:f>
              <c:numCache>
                <c:formatCode>General</c:formatCode>
                <c:ptCount val="2"/>
                <c:pt idx="0">
                  <c:v>6.1449999999999996</c:v>
                </c:pt>
                <c:pt idx="1">
                  <c:v>4.2249999999999996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2-4CFB-A692-3EB682F5F61F}"/>
            </c:ext>
          </c:extLst>
        </c:ser>
        <c:ser>
          <c:idx val="1"/>
          <c:order val="1"/>
          <c:tx>
            <c:strRef>
              <c:f>Emissions!$N$12</c:f>
              <c:strCache>
                <c:ptCount val="1"/>
                <c:pt idx="0">
                  <c:v>Elèctric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Emissions!$L$14:$L$15</c:f>
              <c:strCache>
                <c:ptCount val="2"/>
                <c:pt idx="0">
                  <c:v>NOx kg/km</c:v>
                </c:pt>
                <c:pt idx="1">
                  <c:v>PM10 total kg/km</c:v>
                </c:pt>
              </c:strCache>
            </c:strRef>
          </c:cat>
          <c:val>
            <c:numRef>
              <c:f>Emissions!$N$14:$N$15</c:f>
              <c:numCache>
                <c:formatCode>General</c:formatCode>
                <c:ptCount val="2"/>
                <c:pt idx="0">
                  <c:v>0</c:v>
                </c:pt>
                <c:pt idx="1">
                  <c:v>4.0650000000000004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2-4CFB-A692-3EB682F5F61F}"/>
            </c:ext>
          </c:extLst>
        </c:ser>
        <c:ser>
          <c:idx val="2"/>
          <c:order val="2"/>
          <c:tx>
            <c:strRef>
              <c:f>Emissions!$O$12</c:f>
              <c:strCache>
                <c:ptCount val="1"/>
                <c:pt idx="0">
                  <c:v>Gas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Emissions!$L$14:$L$15</c:f>
              <c:strCache>
                <c:ptCount val="2"/>
                <c:pt idx="0">
                  <c:v>NOx kg/km</c:v>
                </c:pt>
                <c:pt idx="1">
                  <c:v>PM10 total kg/km</c:v>
                </c:pt>
              </c:strCache>
            </c:strRef>
          </c:cat>
          <c:val>
            <c:numRef>
              <c:f>Emissions!$O$14:$O$15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F2-4CFB-A692-3EB682F5F61F}"/>
            </c:ext>
          </c:extLst>
        </c:ser>
        <c:ser>
          <c:idx val="3"/>
          <c:order val="3"/>
          <c:tx>
            <c:strRef>
              <c:f>Emissions!$P$12</c:f>
              <c:strCache>
                <c:ptCount val="1"/>
                <c:pt idx="0">
                  <c:v>Híbrid elèctric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Emissions!$L$14:$L$15</c:f>
              <c:strCache>
                <c:ptCount val="2"/>
                <c:pt idx="0">
                  <c:v>NOx kg/km</c:v>
                </c:pt>
                <c:pt idx="1">
                  <c:v>PM10 total kg/km</c:v>
                </c:pt>
              </c:strCache>
            </c:strRef>
          </c:cat>
          <c:val>
            <c:numRef>
              <c:f>Emissions!$P$14:$P$15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F2-4CFB-A692-3EB682F5F61F}"/>
            </c:ext>
          </c:extLst>
        </c:ser>
        <c:ser>
          <c:idx val="4"/>
          <c:order val="4"/>
          <c:tx>
            <c:strRef>
              <c:f>Emissions!$Q$12</c:f>
              <c:strCache>
                <c:ptCount val="1"/>
                <c:pt idx="0">
                  <c:v>Hidrogen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Emissions!$L$14:$L$15</c:f>
              <c:strCache>
                <c:ptCount val="2"/>
                <c:pt idx="0">
                  <c:v>NOx kg/km</c:v>
                </c:pt>
                <c:pt idx="1">
                  <c:v>PM10 total kg/km</c:v>
                </c:pt>
              </c:strCache>
            </c:strRef>
          </c:cat>
          <c:val>
            <c:numRef>
              <c:f>Emissions!$Q$14:$Q$15</c:f>
              <c:numCache>
                <c:formatCode>General</c:formatCode>
                <c:ptCount val="2"/>
                <c:pt idx="0">
                  <c:v>0</c:v>
                </c:pt>
                <c:pt idx="1">
                  <c:v>4.0650000000000004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F2-4CFB-A692-3EB682F5F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0096495"/>
        <c:axId val="1179776303"/>
      </c:barChart>
      <c:catAx>
        <c:axId val="14000964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9776303"/>
        <c:crosses val="autoZero"/>
        <c:auto val="1"/>
        <c:lblAlgn val="ctr"/>
        <c:lblOffset val="100"/>
        <c:noMultiLvlLbl val="0"/>
      </c:catAx>
      <c:valAx>
        <c:axId val="117977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000964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5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2.gif"/><Relationship Id="rId1" Type="http://schemas.openxmlformats.org/officeDocument/2006/relationships/image" Target="../media/image1.jpeg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1</xdr:col>
      <xdr:colOff>1473201</xdr:colOff>
      <xdr:row>2</xdr:row>
      <xdr:rowOff>390525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22DE749-EB7E-45B9-8937-6F417B16CA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38100"/>
          <a:ext cx="1371600" cy="714375"/>
        </a:xfrm>
        <a:prstGeom prst="rect">
          <a:avLst/>
        </a:prstGeom>
      </xdr:spPr>
    </xdr:pic>
    <xdr:clientData/>
  </xdr:twoCellAnchor>
  <xdr:twoCellAnchor editAs="oneCell">
    <xdr:from>
      <xdr:col>14</xdr:col>
      <xdr:colOff>587375</xdr:colOff>
      <xdr:row>0</xdr:row>
      <xdr:rowOff>120650</xdr:rowOff>
    </xdr:from>
    <xdr:to>
      <xdr:col>18</xdr:col>
      <xdr:colOff>485775</xdr:colOff>
      <xdr:row>2</xdr:row>
      <xdr:rowOff>339725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65FB99B-7EC4-423A-91F6-EEAF49C51915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36575" y="120650"/>
          <a:ext cx="3095625" cy="5810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19729</xdr:rowOff>
    </xdr:from>
    <xdr:to>
      <xdr:col>15</xdr:col>
      <xdr:colOff>141515</xdr:colOff>
      <xdr:row>48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158751</xdr:colOff>
      <xdr:row>0</xdr:row>
      <xdr:rowOff>0</xdr:rowOff>
    </xdr:from>
    <xdr:to>
      <xdr:col>1</xdr:col>
      <xdr:colOff>1530351</xdr:colOff>
      <xdr:row>2</xdr:row>
      <xdr:rowOff>352425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855DFE-2442-479E-AE75-843BEAD15B2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1" y="0"/>
          <a:ext cx="1371600" cy="714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437697</xdr:colOff>
      <xdr:row>0</xdr:row>
      <xdr:rowOff>82550</xdr:rowOff>
    </xdr:from>
    <xdr:to>
      <xdr:col>16</xdr:col>
      <xdr:colOff>1202872</xdr:colOff>
      <xdr:row>2</xdr:row>
      <xdr:rowOff>301625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2B349B0-D647-49E3-9BBF-94BB5314808C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13518" y="82550"/>
          <a:ext cx="3105603" cy="5728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217714</xdr:colOff>
      <xdr:row>30</xdr:row>
      <xdr:rowOff>78241</xdr:rowOff>
    </xdr:from>
    <xdr:to>
      <xdr:col>11</xdr:col>
      <xdr:colOff>1416843</xdr:colOff>
      <xdr:row>47</xdr:row>
      <xdr:rowOff>107157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189194</xdr:colOff>
      <xdr:row>0</xdr:row>
      <xdr:rowOff>30443</xdr:rowOff>
    </xdr:from>
    <xdr:to>
      <xdr:col>1</xdr:col>
      <xdr:colOff>1610472</xdr:colOff>
      <xdr:row>2</xdr:row>
      <xdr:rowOff>390526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53121D1-36EE-4663-ACFD-2D3425001D6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1194" y="30443"/>
          <a:ext cx="1421278" cy="718671"/>
        </a:xfrm>
        <a:prstGeom prst="rect">
          <a:avLst/>
        </a:prstGeom>
      </xdr:spPr>
    </xdr:pic>
    <xdr:clientData/>
  </xdr:twoCellAnchor>
  <xdr:twoCellAnchor editAs="oneCell">
    <xdr:from>
      <xdr:col>10</xdr:col>
      <xdr:colOff>971549</xdr:colOff>
      <xdr:row>0</xdr:row>
      <xdr:rowOff>125693</xdr:rowOff>
    </xdr:from>
    <xdr:to>
      <xdr:col>13</xdr:col>
      <xdr:colOff>607625</xdr:colOff>
      <xdr:row>2</xdr:row>
      <xdr:rowOff>307416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B7EE52-A9F1-4014-B72F-B019F6339851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7520" y="125693"/>
          <a:ext cx="2814544" cy="5403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657225</xdr:colOff>
      <xdr:row>15</xdr:row>
      <xdr:rowOff>28575</xdr:rowOff>
    </xdr:from>
    <xdr:to>
      <xdr:col>19</xdr:col>
      <xdr:colOff>133350</xdr:colOff>
      <xdr:row>30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197A2671-4F62-6E4E-A3BC-84D564566F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198719</xdr:colOff>
      <xdr:row>0</xdr:row>
      <xdr:rowOff>135218</xdr:rowOff>
    </xdr:from>
    <xdr:to>
      <xdr:col>11</xdr:col>
      <xdr:colOff>352425</xdr:colOff>
      <xdr:row>2</xdr:row>
      <xdr:rowOff>292100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C850192-0D54-46A3-88CE-4557A6CEB3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0244" y="135218"/>
          <a:ext cx="1391956" cy="522007"/>
        </a:xfrm>
        <a:prstGeom prst="rect">
          <a:avLst/>
        </a:prstGeom>
      </xdr:spPr>
    </xdr:pic>
    <xdr:clientData/>
  </xdr:twoCellAnchor>
  <xdr:twoCellAnchor editAs="oneCell">
    <xdr:from>
      <xdr:col>22</xdr:col>
      <xdr:colOff>668057</xdr:colOff>
      <xdr:row>0</xdr:row>
      <xdr:rowOff>103842</xdr:rowOff>
    </xdr:from>
    <xdr:to>
      <xdr:col>26</xdr:col>
      <xdr:colOff>426197</xdr:colOff>
      <xdr:row>2</xdr:row>
      <xdr:rowOff>307790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06E4E9B-BBBF-4243-A3C4-C36FE455AB23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1116" y="103842"/>
          <a:ext cx="2812490" cy="5625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101601</xdr:colOff>
      <xdr:row>0</xdr:row>
      <xdr:rowOff>38100</xdr:rowOff>
    </xdr:from>
    <xdr:to>
      <xdr:col>2</xdr:col>
      <xdr:colOff>277719</xdr:colOff>
      <xdr:row>2</xdr:row>
      <xdr:rowOff>387350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7CF2927-3AAD-4E4C-BD6E-9060E048A6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1" y="38100"/>
          <a:ext cx="1327149" cy="714375"/>
        </a:xfrm>
        <a:prstGeom prst="rect">
          <a:avLst/>
        </a:prstGeom>
      </xdr:spPr>
    </xdr:pic>
    <xdr:clientData/>
  </xdr:twoCellAnchor>
  <xdr:twoCellAnchor editAs="oneCell">
    <xdr:from>
      <xdr:col>15</xdr:col>
      <xdr:colOff>549275</xdr:colOff>
      <xdr:row>0</xdr:row>
      <xdr:rowOff>130175</xdr:rowOff>
    </xdr:from>
    <xdr:to>
      <xdr:col>18</xdr:col>
      <xdr:colOff>444500</xdr:colOff>
      <xdr:row>2</xdr:row>
      <xdr:rowOff>361950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2EEE49D-E611-4FB0-BAFC-D60E22A3FDA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9275" y="130175"/>
          <a:ext cx="2184400" cy="593725"/>
        </a:xfrm>
        <a:prstGeom prst="rect">
          <a:avLst/>
        </a:prstGeom>
      </xdr:spPr>
    </xdr:pic>
    <xdr:clientData/>
  </xdr:twoCellAnchor>
  <xdr:twoCellAnchor>
    <xdr:from>
      <xdr:col>7</xdr:col>
      <xdr:colOff>407335</xdr:colOff>
      <xdr:row>15</xdr:row>
      <xdr:rowOff>149971</xdr:rowOff>
    </xdr:from>
    <xdr:to>
      <xdr:col>12</xdr:col>
      <xdr:colOff>503423</xdr:colOff>
      <xdr:row>31</xdr:row>
      <xdr:rowOff>27640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E449EC5-0638-4950-B991-315AFFD8C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753221</xdr:colOff>
      <xdr:row>15</xdr:row>
      <xdr:rowOff>159499</xdr:rowOff>
    </xdr:from>
    <xdr:to>
      <xdr:col>18</xdr:col>
      <xdr:colOff>650778</xdr:colOff>
      <xdr:row>31</xdr:row>
      <xdr:rowOff>41193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3C9C9A0-4561-4EA2-B7DC-3D506277A6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30442</xdr:colOff>
      <xdr:row>29</xdr:row>
      <xdr:rowOff>19237</xdr:rowOff>
    </xdr:from>
    <xdr:to>
      <xdr:col>7</xdr:col>
      <xdr:colOff>30442</xdr:colOff>
      <xdr:row>34</xdr:row>
      <xdr:rowOff>57522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A7606BD-4C56-4BF7-A55E-3B855F37C145}"/>
            </a:ext>
          </a:extLst>
        </xdr:cNvPr>
        <xdr:cNvSpPr txBox="1"/>
      </xdr:nvSpPr>
      <xdr:spPr>
        <a:xfrm>
          <a:off x="792442" y="5577355"/>
          <a:ext cx="5782235" cy="934755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050" i="1"/>
            <a:t>Les dades de les taules són de fonts oficials: Generalitat de Catalunya, Gasnam i European Environment Agency.</a:t>
          </a:r>
        </a:p>
        <a:p>
          <a:endParaRPr lang="es-ES" sz="1050" i="1"/>
        </a:p>
        <a:p>
          <a:r>
            <a:rPr lang="es-ES" sz="1050" i="1"/>
            <a:t>A l'informe també hi ha dades de</a:t>
          </a:r>
          <a:r>
            <a:rPr lang="es-ES" sz="1050" i="1" baseline="0"/>
            <a:t> camions rígids i articulats per a gas EURO VI, les fonts són: Transport &amp; Environment i NGVA.</a:t>
          </a:r>
          <a:endParaRPr lang="es-ES" sz="1050" i="1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101601</xdr:colOff>
      <xdr:row>0</xdr:row>
      <xdr:rowOff>38100</xdr:rowOff>
    </xdr:from>
    <xdr:to>
      <xdr:col>2</xdr:col>
      <xdr:colOff>819150</xdr:colOff>
      <xdr:row>2</xdr:row>
      <xdr:rowOff>419100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D82720-EC18-47C5-9346-01CC320EB95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601" y="38100"/>
          <a:ext cx="1479549" cy="742950"/>
        </a:xfrm>
        <a:prstGeom prst="rect">
          <a:avLst/>
        </a:prstGeom>
      </xdr:spPr>
    </xdr:pic>
    <xdr:clientData/>
  </xdr:twoCellAnchor>
  <xdr:twoCellAnchor editAs="oneCell">
    <xdr:from>
      <xdr:col>14</xdr:col>
      <xdr:colOff>466725</xdr:colOff>
      <xdr:row>0</xdr:row>
      <xdr:rowOff>123826</xdr:rowOff>
    </xdr:from>
    <xdr:to>
      <xdr:col>17</xdr:col>
      <xdr:colOff>635000</xdr:colOff>
      <xdr:row>2</xdr:row>
      <xdr:rowOff>352426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6CA7D3-B55B-4BBD-AC71-B3650C4D492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96725" y="123826"/>
          <a:ext cx="2454275" cy="5905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63669-7C39-4565-89CB-6E9A8C4681F2}">
  <sheetPr codeName="Hoja5"/>
  <dimension ref="A1:S28"/>
  <sheetViews>
    <sheetView zoomScale="70" zoomScaleNormal="70" workbookViewId="0">
      <selection activeCell="D21" sqref="D21"/>
    </sheetView>
  </sheetViews>
  <sheetFormatPr baseColWidth="10" defaultColWidth="11.453125" defaultRowHeight="14.5" x14ac:dyDescent="0.35"/>
  <cols>
    <col min="1" max="1" width="9.08984375" style="10" customWidth="1"/>
    <col min="2" max="2" width="34.54296875" style="10" customWidth="1"/>
    <col min="3" max="256" width="11.453125" style="10"/>
    <col min="257" max="257" width="9.08984375" style="10" customWidth="1"/>
    <col min="258" max="258" width="34.54296875" style="10" customWidth="1"/>
    <col min="259" max="512" width="11.453125" style="10"/>
    <col min="513" max="513" width="9.08984375" style="10" customWidth="1"/>
    <col min="514" max="514" width="34.54296875" style="10" customWidth="1"/>
    <col min="515" max="768" width="11.453125" style="10"/>
    <col min="769" max="769" width="9.08984375" style="10" customWidth="1"/>
    <col min="770" max="770" width="34.54296875" style="10" customWidth="1"/>
    <col min="771" max="1024" width="11.453125" style="10"/>
    <col min="1025" max="1025" width="9.08984375" style="10" customWidth="1"/>
    <col min="1026" max="1026" width="34.54296875" style="10" customWidth="1"/>
    <col min="1027" max="1280" width="11.453125" style="10"/>
    <col min="1281" max="1281" width="9.08984375" style="10" customWidth="1"/>
    <col min="1282" max="1282" width="34.54296875" style="10" customWidth="1"/>
    <col min="1283" max="1536" width="11.453125" style="10"/>
    <col min="1537" max="1537" width="9.08984375" style="10" customWidth="1"/>
    <col min="1538" max="1538" width="34.54296875" style="10" customWidth="1"/>
    <col min="1539" max="1792" width="11.453125" style="10"/>
    <col min="1793" max="1793" width="9.08984375" style="10" customWidth="1"/>
    <col min="1794" max="1794" width="34.54296875" style="10" customWidth="1"/>
    <col min="1795" max="2048" width="11.453125" style="10"/>
    <col min="2049" max="2049" width="9.08984375" style="10" customWidth="1"/>
    <col min="2050" max="2050" width="34.54296875" style="10" customWidth="1"/>
    <col min="2051" max="2304" width="11.453125" style="10"/>
    <col min="2305" max="2305" width="9.08984375" style="10" customWidth="1"/>
    <col min="2306" max="2306" width="34.54296875" style="10" customWidth="1"/>
    <col min="2307" max="2560" width="11.453125" style="10"/>
    <col min="2561" max="2561" width="9.08984375" style="10" customWidth="1"/>
    <col min="2562" max="2562" width="34.54296875" style="10" customWidth="1"/>
    <col min="2563" max="2816" width="11.453125" style="10"/>
    <col min="2817" max="2817" width="9.08984375" style="10" customWidth="1"/>
    <col min="2818" max="2818" width="34.54296875" style="10" customWidth="1"/>
    <col min="2819" max="3072" width="11.453125" style="10"/>
    <col min="3073" max="3073" width="9.08984375" style="10" customWidth="1"/>
    <col min="3074" max="3074" width="34.54296875" style="10" customWidth="1"/>
    <col min="3075" max="3328" width="11.453125" style="10"/>
    <col min="3329" max="3329" width="9.08984375" style="10" customWidth="1"/>
    <col min="3330" max="3330" width="34.54296875" style="10" customWidth="1"/>
    <col min="3331" max="3584" width="11.453125" style="10"/>
    <col min="3585" max="3585" width="9.08984375" style="10" customWidth="1"/>
    <col min="3586" max="3586" width="34.54296875" style="10" customWidth="1"/>
    <col min="3587" max="3840" width="11.453125" style="10"/>
    <col min="3841" max="3841" width="9.08984375" style="10" customWidth="1"/>
    <col min="3842" max="3842" width="34.54296875" style="10" customWidth="1"/>
    <col min="3843" max="4096" width="11.453125" style="10"/>
    <col min="4097" max="4097" width="9.08984375" style="10" customWidth="1"/>
    <col min="4098" max="4098" width="34.54296875" style="10" customWidth="1"/>
    <col min="4099" max="4352" width="11.453125" style="10"/>
    <col min="4353" max="4353" width="9.08984375" style="10" customWidth="1"/>
    <col min="4354" max="4354" width="34.54296875" style="10" customWidth="1"/>
    <col min="4355" max="4608" width="11.453125" style="10"/>
    <col min="4609" max="4609" width="9.08984375" style="10" customWidth="1"/>
    <col min="4610" max="4610" width="34.54296875" style="10" customWidth="1"/>
    <col min="4611" max="4864" width="11.453125" style="10"/>
    <col min="4865" max="4865" width="9.08984375" style="10" customWidth="1"/>
    <col min="4866" max="4866" width="34.54296875" style="10" customWidth="1"/>
    <col min="4867" max="5120" width="11.453125" style="10"/>
    <col min="5121" max="5121" width="9.08984375" style="10" customWidth="1"/>
    <col min="5122" max="5122" width="34.54296875" style="10" customWidth="1"/>
    <col min="5123" max="5376" width="11.453125" style="10"/>
    <col min="5377" max="5377" width="9.08984375" style="10" customWidth="1"/>
    <col min="5378" max="5378" width="34.54296875" style="10" customWidth="1"/>
    <col min="5379" max="5632" width="11.453125" style="10"/>
    <col min="5633" max="5633" width="9.08984375" style="10" customWidth="1"/>
    <col min="5634" max="5634" width="34.54296875" style="10" customWidth="1"/>
    <col min="5635" max="5888" width="11.453125" style="10"/>
    <col min="5889" max="5889" width="9.08984375" style="10" customWidth="1"/>
    <col min="5890" max="5890" width="34.54296875" style="10" customWidth="1"/>
    <col min="5891" max="6144" width="11.453125" style="10"/>
    <col min="6145" max="6145" width="9.08984375" style="10" customWidth="1"/>
    <col min="6146" max="6146" width="34.54296875" style="10" customWidth="1"/>
    <col min="6147" max="6400" width="11.453125" style="10"/>
    <col min="6401" max="6401" width="9.08984375" style="10" customWidth="1"/>
    <col min="6402" max="6402" width="34.54296875" style="10" customWidth="1"/>
    <col min="6403" max="6656" width="11.453125" style="10"/>
    <col min="6657" max="6657" width="9.08984375" style="10" customWidth="1"/>
    <col min="6658" max="6658" width="34.54296875" style="10" customWidth="1"/>
    <col min="6659" max="6912" width="11.453125" style="10"/>
    <col min="6913" max="6913" width="9.08984375" style="10" customWidth="1"/>
    <col min="6914" max="6914" width="34.54296875" style="10" customWidth="1"/>
    <col min="6915" max="7168" width="11.453125" style="10"/>
    <col min="7169" max="7169" width="9.08984375" style="10" customWidth="1"/>
    <col min="7170" max="7170" width="34.54296875" style="10" customWidth="1"/>
    <col min="7171" max="7424" width="11.453125" style="10"/>
    <col min="7425" max="7425" width="9.08984375" style="10" customWidth="1"/>
    <col min="7426" max="7426" width="34.54296875" style="10" customWidth="1"/>
    <col min="7427" max="7680" width="11.453125" style="10"/>
    <col min="7681" max="7681" width="9.08984375" style="10" customWidth="1"/>
    <col min="7682" max="7682" width="34.54296875" style="10" customWidth="1"/>
    <col min="7683" max="7936" width="11.453125" style="10"/>
    <col min="7937" max="7937" width="9.08984375" style="10" customWidth="1"/>
    <col min="7938" max="7938" width="34.54296875" style="10" customWidth="1"/>
    <col min="7939" max="8192" width="11.453125" style="10"/>
    <col min="8193" max="8193" width="9.08984375" style="10" customWidth="1"/>
    <col min="8194" max="8194" width="34.54296875" style="10" customWidth="1"/>
    <col min="8195" max="8448" width="11.453125" style="10"/>
    <col min="8449" max="8449" width="9.08984375" style="10" customWidth="1"/>
    <col min="8450" max="8450" width="34.54296875" style="10" customWidth="1"/>
    <col min="8451" max="8704" width="11.453125" style="10"/>
    <col min="8705" max="8705" width="9.08984375" style="10" customWidth="1"/>
    <col min="8706" max="8706" width="34.54296875" style="10" customWidth="1"/>
    <col min="8707" max="8960" width="11.453125" style="10"/>
    <col min="8961" max="8961" width="9.08984375" style="10" customWidth="1"/>
    <col min="8962" max="8962" width="34.54296875" style="10" customWidth="1"/>
    <col min="8963" max="9216" width="11.453125" style="10"/>
    <col min="9217" max="9217" width="9.08984375" style="10" customWidth="1"/>
    <col min="9218" max="9218" width="34.54296875" style="10" customWidth="1"/>
    <col min="9219" max="9472" width="11.453125" style="10"/>
    <col min="9473" max="9473" width="9.08984375" style="10" customWidth="1"/>
    <col min="9474" max="9474" width="34.54296875" style="10" customWidth="1"/>
    <col min="9475" max="9728" width="11.453125" style="10"/>
    <col min="9729" max="9729" width="9.08984375" style="10" customWidth="1"/>
    <col min="9730" max="9730" width="34.54296875" style="10" customWidth="1"/>
    <col min="9731" max="9984" width="11.453125" style="10"/>
    <col min="9985" max="9985" width="9.08984375" style="10" customWidth="1"/>
    <col min="9986" max="9986" width="34.54296875" style="10" customWidth="1"/>
    <col min="9987" max="10240" width="11.453125" style="10"/>
    <col min="10241" max="10241" width="9.08984375" style="10" customWidth="1"/>
    <col min="10242" max="10242" width="34.54296875" style="10" customWidth="1"/>
    <col min="10243" max="10496" width="11.453125" style="10"/>
    <col min="10497" max="10497" width="9.08984375" style="10" customWidth="1"/>
    <col min="10498" max="10498" width="34.54296875" style="10" customWidth="1"/>
    <col min="10499" max="10752" width="11.453125" style="10"/>
    <col min="10753" max="10753" width="9.08984375" style="10" customWidth="1"/>
    <col min="10754" max="10754" width="34.54296875" style="10" customWidth="1"/>
    <col min="10755" max="11008" width="11.453125" style="10"/>
    <col min="11009" max="11009" width="9.08984375" style="10" customWidth="1"/>
    <col min="11010" max="11010" width="34.54296875" style="10" customWidth="1"/>
    <col min="11011" max="11264" width="11.453125" style="10"/>
    <col min="11265" max="11265" width="9.08984375" style="10" customWidth="1"/>
    <col min="11266" max="11266" width="34.54296875" style="10" customWidth="1"/>
    <col min="11267" max="11520" width="11.453125" style="10"/>
    <col min="11521" max="11521" width="9.08984375" style="10" customWidth="1"/>
    <col min="11522" max="11522" width="34.54296875" style="10" customWidth="1"/>
    <col min="11523" max="11776" width="11.453125" style="10"/>
    <col min="11777" max="11777" width="9.08984375" style="10" customWidth="1"/>
    <col min="11778" max="11778" width="34.54296875" style="10" customWidth="1"/>
    <col min="11779" max="12032" width="11.453125" style="10"/>
    <col min="12033" max="12033" width="9.08984375" style="10" customWidth="1"/>
    <col min="12034" max="12034" width="34.54296875" style="10" customWidth="1"/>
    <col min="12035" max="12288" width="11.453125" style="10"/>
    <col min="12289" max="12289" width="9.08984375" style="10" customWidth="1"/>
    <col min="12290" max="12290" width="34.54296875" style="10" customWidth="1"/>
    <col min="12291" max="12544" width="11.453125" style="10"/>
    <col min="12545" max="12545" width="9.08984375" style="10" customWidth="1"/>
    <col min="12546" max="12546" width="34.54296875" style="10" customWidth="1"/>
    <col min="12547" max="12800" width="11.453125" style="10"/>
    <col min="12801" max="12801" width="9.08984375" style="10" customWidth="1"/>
    <col min="12802" max="12802" width="34.54296875" style="10" customWidth="1"/>
    <col min="12803" max="13056" width="11.453125" style="10"/>
    <col min="13057" max="13057" width="9.08984375" style="10" customWidth="1"/>
    <col min="13058" max="13058" width="34.54296875" style="10" customWidth="1"/>
    <col min="13059" max="13312" width="11.453125" style="10"/>
    <col min="13313" max="13313" width="9.08984375" style="10" customWidth="1"/>
    <col min="13314" max="13314" width="34.54296875" style="10" customWidth="1"/>
    <col min="13315" max="13568" width="11.453125" style="10"/>
    <col min="13569" max="13569" width="9.08984375" style="10" customWidth="1"/>
    <col min="13570" max="13570" width="34.54296875" style="10" customWidth="1"/>
    <col min="13571" max="13824" width="11.453125" style="10"/>
    <col min="13825" max="13825" width="9.08984375" style="10" customWidth="1"/>
    <col min="13826" max="13826" width="34.54296875" style="10" customWidth="1"/>
    <col min="13827" max="14080" width="11.453125" style="10"/>
    <col min="14081" max="14081" width="9.08984375" style="10" customWidth="1"/>
    <col min="14082" max="14082" width="34.54296875" style="10" customWidth="1"/>
    <col min="14083" max="14336" width="11.453125" style="10"/>
    <col min="14337" max="14337" width="9.08984375" style="10" customWidth="1"/>
    <col min="14338" max="14338" width="34.54296875" style="10" customWidth="1"/>
    <col min="14339" max="14592" width="11.453125" style="10"/>
    <col min="14593" max="14593" width="9.08984375" style="10" customWidth="1"/>
    <col min="14594" max="14594" width="34.54296875" style="10" customWidth="1"/>
    <col min="14595" max="14848" width="11.453125" style="10"/>
    <col min="14849" max="14849" width="9.08984375" style="10" customWidth="1"/>
    <col min="14850" max="14850" width="34.54296875" style="10" customWidth="1"/>
    <col min="14851" max="15104" width="11.453125" style="10"/>
    <col min="15105" max="15105" width="9.08984375" style="10" customWidth="1"/>
    <col min="15106" max="15106" width="34.54296875" style="10" customWidth="1"/>
    <col min="15107" max="15360" width="11.453125" style="10"/>
    <col min="15361" max="15361" width="9.08984375" style="10" customWidth="1"/>
    <col min="15362" max="15362" width="34.54296875" style="10" customWidth="1"/>
    <col min="15363" max="15616" width="11.453125" style="10"/>
    <col min="15617" max="15617" width="9.08984375" style="10" customWidth="1"/>
    <col min="15618" max="15618" width="34.54296875" style="10" customWidth="1"/>
    <col min="15619" max="15872" width="11.453125" style="10"/>
    <col min="15873" max="15873" width="9.08984375" style="10" customWidth="1"/>
    <col min="15874" max="15874" width="34.54296875" style="10" customWidth="1"/>
    <col min="15875" max="16128" width="11.453125" style="10"/>
    <col min="16129" max="16129" width="9.08984375" style="10" customWidth="1"/>
    <col min="16130" max="16130" width="34.54296875" style="10" customWidth="1"/>
    <col min="16131" max="16384" width="11.453125" style="10"/>
  </cols>
  <sheetData>
    <row r="1" spans="1:19" x14ac:dyDescent="0.35">
      <c r="B1" s="94" t="s">
        <v>57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6"/>
    </row>
    <row r="2" spans="1:19" x14ac:dyDescent="0.35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9"/>
    </row>
    <row r="3" spans="1:19" ht="39.75" customHeight="1" thickBot="1" x14ac:dyDescent="0.4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2"/>
    </row>
    <row r="4" spans="1:19" x14ac:dyDescent="0.3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9" x14ac:dyDescent="0.35">
      <c r="A5" s="18"/>
      <c r="B5" s="18" t="s">
        <v>39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9" x14ac:dyDescent="0.3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9" x14ac:dyDescent="0.3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</row>
    <row r="8" spans="1:19" x14ac:dyDescent="0.3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9" x14ac:dyDescent="0.35">
      <c r="A9" s="18"/>
      <c r="B9" s="19" t="s">
        <v>40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</row>
    <row r="10" spans="1:19" x14ac:dyDescent="0.3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9" x14ac:dyDescent="0.35">
      <c r="A11" s="18"/>
      <c r="B11" s="18" t="s">
        <v>41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</row>
    <row r="12" spans="1:19" x14ac:dyDescent="0.35">
      <c r="A12" s="18"/>
      <c r="B12" s="18" t="s">
        <v>44</v>
      </c>
      <c r="C12" s="18"/>
      <c r="D12" s="18"/>
      <c r="E12" s="18"/>
      <c r="F12" s="20"/>
      <c r="G12" s="18"/>
      <c r="H12" s="18"/>
      <c r="I12" s="18"/>
      <c r="J12" s="18"/>
      <c r="K12" s="18"/>
      <c r="L12" s="18"/>
      <c r="M12" s="18"/>
      <c r="N12" s="18"/>
      <c r="O12" s="18"/>
    </row>
    <row r="13" spans="1:19" x14ac:dyDescent="0.3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  <row r="14" spans="1:19" x14ac:dyDescent="0.3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</row>
    <row r="15" spans="1:19" x14ac:dyDescent="0.35">
      <c r="A15" s="18"/>
      <c r="B15" s="19" t="s">
        <v>38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</row>
    <row r="16" spans="1:19" x14ac:dyDescent="0.3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</row>
    <row r="17" spans="1:15" x14ac:dyDescent="0.35">
      <c r="A17" s="18"/>
      <c r="B17" s="21" t="s">
        <v>42</v>
      </c>
      <c r="C17" s="18" t="s">
        <v>47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</row>
    <row r="18" spans="1:15" x14ac:dyDescent="0.35">
      <c r="A18" s="18"/>
      <c r="B18" s="22" t="s">
        <v>43</v>
      </c>
      <c r="C18" s="18" t="s">
        <v>46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</row>
    <row r="19" spans="1:15" x14ac:dyDescent="0.35">
      <c r="A19" s="18"/>
      <c r="B19" s="23" t="s">
        <v>45</v>
      </c>
      <c r="C19" s="18" t="s">
        <v>48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</row>
    <row r="20" spans="1:15" x14ac:dyDescent="0.35">
      <c r="A20" s="18"/>
      <c r="B20" s="39" t="s">
        <v>58</v>
      </c>
      <c r="C20" s="18" t="s">
        <v>72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</row>
    <row r="21" spans="1:15" x14ac:dyDescent="0.35">
      <c r="A21" s="18"/>
      <c r="B21" s="40" t="s">
        <v>71</v>
      </c>
      <c r="C21" s="18" t="s">
        <v>73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</row>
    <row r="22" spans="1:15" x14ac:dyDescent="0.3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  <row r="23" spans="1:15" x14ac:dyDescent="0.3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</row>
    <row r="28" spans="1:15" x14ac:dyDescent="0.35">
      <c r="D28" s="11"/>
    </row>
  </sheetData>
  <sheetProtection algorithmName="SHA-512" hashValue="ChfsUjZ/2qXAMEbYi6katVe39fhz4V8/rSglCTCRar0BH4GgFSGBD3KBiX94FUbPBSN3sweQAJN4TBC7rF8tVQ==" saltValue="AuFUspyrHA/4XwzXN7twzQ==" spinCount="100000" sheet="1" objects="1" scenarios="1"/>
  <mergeCells count="1">
    <mergeCell ref="B1:S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249977111117893"/>
  </sheetPr>
  <dimension ref="A1:W56"/>
  <sheetViews>
    <sheetView showGridLines="0" zoomScale="60" zoomScaleNormal="60" workbookViewId="0">
      <selection activeCell="F25" sqref="F25"/>
    </sheetView>
  </sheetViews>
  <sheetFormatPr baseColWidth="10" defaultColWidth="9.1796875" defaultRowHeight="14.5" x14ac:dyDescent="0.35"/>
  <cols>
    <col min="1" max="1" width="9.1796875" style="56"/>
    <col min="2" max="2" width="26.453125" style="56" bestFit="1" customWidth="1"/>
    <col min="3" max="3" width="15.81640625" style="56" bestFit="1" customWidth="1"/>
    <col min="4" max="4" width="21.7265625" style="56" bestFit="1" customWidth="1"/>
    <col min="5" max="6" width="15.81640625" style="56" customWidth="1"/>
    <col min="7" max="7" width="20.453125" style="56" bestFit="1" customWidth="1"/>
    <col min="8" max="8" width="27" style="56" bestFit="1" customWidth="1"/>
    <col min="9" max="9" width="14.36328125" style="56" bestFit="1" customWidth="1"/>
    <col min="10" max="10" width="20.81640625" style="56" bestFit="1" customWidth="1"/>
    <col min="11" max="11" width="18.453125" style="56" customWidth="1"/>
    <col min="12" max="12" width="14.453125" style="56" bestFit="1" customWidth="1"/>
    <col min="13" max="13" width="16" style="56" bestFit="1" customWidth="1"/>
    <col min="14" max="15" width="14.36328125" style="56" bestFit="1" customWidth="1"/>
    <col min="16" max="16" width="33.36328125" style="56" customWidth="1"/>
    <col min="17" max="17" width="24.36328125" style="56" customWidth="1"/>
    <col min="18" max="18" width="24.36328125" style="57" customWidth="1"/>
    <col min="19" max="19" width="23.6328125" style="57" bestFit="1" customWidth="1"/>
    <col min="20" max="21" width="13.453125" style="57" bestFit="1" customWidth="1"/>
    <col min="22" max="25" width="14.36328125" style="57" bestFit="1" customWidth="1"/>
    <col min="26" max="26" width="14.453125" style="57" bestFit="1" customWidth="1"/>
    <col min="27" max="27" width="13.1796875" style="57" bestFit="1" customWidth="1"/>
    <col min="28" max="16384" width="9.1796875" style="57"/>
  </cols>
  <sheetData>
    <row r="1" spans="1:23" s="68" customFormat="1" ht="14.5" customHeight="1" x14ac:dyDescent="0.35">
      <c r="A1" s="66"/>
      <c r="B1" s="108" t="s">
        <v>57</v>
      </c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10"/>
      <c r="R1" s="67"/>
      <c r="S1" s="67"/>
      <c r="T1" s="67"/>
      <c r="U1" s="67"/>
      <c r="V1" s="67"/>
      <c r="W1" s="67"/>
    </row>
    <row r="2" spans="1:23" s="68" customFormat="1" ht="14.5" customHeight="1" x14ac:dyDescent="0.35">
      <c r="A2" s="66"/>
      <c r="B2" s="111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3"/>
      <c r="R2" s="67"/>
      <c r="S2" s="67"/>
      <c r="T2" s="67"/>
      <c r="U2" s="67"/>
      <c r="V2" s="67"/>
      <c r="W2" s="67"/>
    </row>
    <row r="3" spans="1:23" s="68" customFormat="1" ht="33.5" customHeight="1" thickBot="1" x14ac:dyDescent="0.4">
      <c r="A3" s="66"/>
      <c r="B3" s="114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6"/>
      <c r="R3" s="67"/>
      <c r="S3" s="67"/>
      <c r="T3" s="67"/>
      <c r="U3" s="67"/>
      <c r="V3" s="67"/>
      <c r="W3" s="67"/>
    </row>
    <row r="4" spans="1:23" s="72" customFormat="1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70"/>
      <c r="Q4" s="70"/>
      <c r="R4" s="71"/>
      <c r="S4" s="71"/>
      <c r="T4" s="71"/>
      <c r="U4" s="71"/>
      <c r="V4" s="71"/>
      <c r="W4" s="71"/>
    </row>
    <row r="5" spans="1:23" s="72" customFormat="1" ht="15" thickBot="1" x14ac:dyDescent="0.4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70"/>
      <c r="Q5" s="70"/>
      <c r="R5" s="71"/>
      <c r="S5" s="71"/>
      <c r="T5" s="71"/>
      <c r="U5" s="71"/>
      <c r="V5" s="71"/>
      <c r="W5" s="71"/>
    </row>
    <row r="6" spans="1:23" s="72" customFormat="1" ht="15" thickBot="1" x14ac:dyDescent="0.4">
      <c r="A6" s="69"/>
      <c r="B6" s="73" t="s">
        <v>49</v>
      </c>
      <c r="C6" s="74"/>
      <c r="D6" s="74"/>
      <c r="E6" s="74"/>
      <c r="F6" s="74"/>
      <c r="G6" s="74"/>
      <c r="H6" s="74"/>
      <c r="I6" s="75"/>
      <c r="J6" s="75"/>
      <c r="K6" s="74"/>
      <c r="L6" s="69"/>
      <c r="M6" s="69"/>
      <c r="N6" s="69"/>
      <c r="O6" s="69"/>
      <c r="P6" s="70"/>
      <c r="Q6" s="70"/>
      <c r="R6" s="71"/>
      <c r="S6" s="71"/>
      <c r="T6" s="71"/>
      <c r="U6" s="71"/>
      <c r="V6" s="71"/>
      <c r="W6" s="71"/>
    </row>
    <row r="7" spans="1:23" s="72" customFormat="1" x14ac:dyDescent="0.35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70"/>
      <c r="Q7" s="70"/>
      <c r="R7" s="71"/>
      <c r="S7" s="71"/>
      <c r="T7" s="71"/>
      <c r="U7" s="71"/>
      <c r="V7" s="71"/>
      <c r="W7" s="71"/>
    </row>
    <row r="8" spans="1:23" s="72" customFormat="1" x14ac:dyDescent="0.35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70"/>
      <c r="Q8" s="70"/>
      <c r="R8" s="71"/>
      <c r="S8" s="71"/>
      <c r="T8" s="71"/>
      <c r="U8" s="71"/>
      <c r="V8" s="71"/>
      <c r="W8" s="71"/>
    </row>
    <row r="9" spans="1:23" x14ac:dyDescent="0.35">
      <c r="B9" s="107" t="s">
        <v>36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</row>
    <row r="10" spans="1:23" x14ac:dyDescent="0.35">
      <c r="B10" s="103" t="s">
        <v>1</v>
      </c>
      <c r="C10" s="103" t="s">
        <v>0</v>
      </c>
      <c r="D10" s="117" t="s">
        <v>52</v>
      </c>
      <c r="E10" s="118"/>
      <c r="F10" s="117" t="s">
        <v>53</v>
      </c>
      <c r="G10" s="118"/>
      <c r="H10" s="103" t="s">
        <v>7</v>
      </c>
      <c r="I10" s="129" t="s">
        <v>11</v>
      </c>
      <c r="J10" s="103" t="s">
        <v>9</v>
      </c>
      <c r="K10" s="129" t="s">
        <v>15</v>
      </c>
      <c r="L10" s="129" t="s">
        <v>25</v>
      </c>
      <c r="M10" s="129" t="s">
        <v>10</v>
      </c>
      <c r="N10" s="103" t="s">
        <v>8</v>
      </c>
      <c r="O10" s="58"/>
    </row>
    <row r="11" spans="1:23" x14ac:dyDescent="0.35">
      <c r="B11" s="119"/>
      <c r="C11" s="119"/>
      <c r="D11" s="52" t="s">
        <v>56</v>
      </c>
      <c r="E11" s="52" t="s">
        <v>54</v>
      </c>
      <c r="F11" s="52" t="s">
        <v>56</v>
      </c>
      <c r="G11" s="52" t="s">
        <v>55</v>
      </c>
      <c r="H11" s="119"/>
      <c r="I11" s="130"/>
      <c r="J11" s="119"/>
      <c r="K11" s="130"/>
      <c r="L11" s="130"/>
      <c r="M11" s="130"/>
      <c r="N11" s="119"/>
      <c r="O11" s="58"/>
    </row>
    <row r="12" spans="1:23" x14ac:dyDescent="0.35">
      <c r="B12" s="103" t="s">
        <v>2</v>
      </c>
      <c r="C12" s="105">
        <v>23856.52</v>
      </c>
      <c r="D12" s="59"/>
      <c r="E12" s="120"/>
      <c r="F12" s="59"/>
      <c r="G12" s="122">
        <f>I12*12</f>
        <v>96</v>
      </c>
      <c r="H12" s="105"/>
      <c r="I12" s="136">
        <v>8</v>
      </c>
      <c r="J12" s="136">
        <v>50000</v>
      </c>
      <c r="K12" s="124">
        <v>10.31</v>
      </c>
      <c r="L12" s="124"/>
      <c r="M12" s="134">
        <v>0.03</v>
      </c>
      <c r="N12" s="138" cm="1">
        <f t="array" aca="1" ref="N12" ca="1">IF(C12="",IF(D13=0,-H12+SUMPRODUCT((((J12/100)*K12)+L12+F13)/(1+M12)^Vectors!$A$3:INDIRECT(CONCATENATE("Vectors!A",Urbà!I12+2))),-H12+SUMPRODUCT((J12/100)*K12/(1+M12)^Vectors!$A$3:INDIRECT(CONCATENATE("Vectors!A",Urbà!I12+2)))+SUMPRODUCT(D13/(1+M12)^Vectors!$A$3:INDIRECT(CONCATENATE("Vectors!A",(Urbà!E12)/12+2)))),C12-H12+SUMPRODUCT((J12/100)*K12/(1+M12)^Vectors!$A$3:INDIRECT(CONCATENATE("Vectors!A",Urbà!I12+2))))</f>
        <v>60043.033237055395</v>
      </c>
      <c r="O12" s="60"/>
    </row>
    <row r="13" spans="1:23" x14ac:dyDescent="0.35">
      <c r="B13" s="104"/>
      <c r="C13" s="106"/>
      <c r="D13" s="50">
        <f>D12*12</f>
        <v>0</v>
      </c>
      <c r="E13" s="121"/>
      <c r="F13" s="50">
        <f t="shared" ref="F13" si="0">F12*12</f>
        <v>0</v>
      </c>
      <c r="G13" s="123"/>
      <c r="H13" s="106"/>
      <c r="I13" s="137"/>
      <c r="J13" s="137"/>
      <c r="K13" s="125"/>
      <c r="L13" s="125"/>
      <c r="M13" s="135"/>
      <c r="N13" s="139"/>
      <c r="O13" s="61"/>
    </row>
    <row r="14" spans="1:23" x14ac:dyDescent="0.35">
      <c r="B14" s="103" t="s">
        <v>3</v>
      </c>
      <c r="C14" s="105">
        <v>66320</v>
      </c>
      <c r="D14" s="59"/>
      <c r="E14" s="120"/>
      <c r="F14" s="59"/>
      <c r="G14" s="122">
        <f t="shared" ref="G14" si="1">I14*12</f>
        <v>120</v>
      </c>
      <c r="H14" s="105">
        <v>5000</v>
      </c>
      <c r="I14" s="136">
        <v>10</v>
      </c>
      <c r="J14" s="136">
        <v>50000</v>
      </c>
      <c r="K14" s="124">
        <v>2.4</v>
      </c>
      <c r="L14" s="124"/>
      <c r="M14" s="134">
        <v>0.03</v>
      </c>
      <c r="N14" s="138" cm="1">
        <f t="array" aca="1" ref="N14" ca="1">IF(C14="",IF(D15=0,-H14+SUMPRODUCT((((J14/100)*K14)+L14+F15)/(1+M14)^Vectors!$A$3:INDIRECT(CONCATENATE("Vectors!A",Urbà!I14+2))),-H14+SUMPRODUCT((J14/100)*K14/(1+M14)^Vectors!$A$3:INDIRECT(CONCATENATE("Vectors!A",Urbà!I14+2)))+SUMPRODUCT(D15/(1+M14)^Vectors!$A$3:INDIRECT(CONCATENATE("Vectors!A",(Urbà!E14)/12+2)))),C14-H14+SUMPRODUCT((J14/100)*K14/(1+M14)^Vectors!$A$3:INDIRECT(CONCATENATE("Vectors!A",Urbà!I14+2))))</f>
        <v>71556.243404131004</v>
      </c>
      <c r="O14" s="61"/>
      <c r="Q14" s="62"/>
    </row>
    <row r="15" spans="1:23" x14ac:dyDescent="0.35">
      <c r="B15" s="104"/>
      <c r="C15" s="106"/>
      <c r="D15" s="51">
        <f>D14*12</f>
        <v>0</v>
      </c>
      <c r="E15" s="121"/>
      <c r="F15" s="51">
        <f t="shared" ref="F15" si="2">F14*12</f>
        <v>0</v>
      </c>
      <c r="G15" s="123"/>
      <c r="H15" s="106"/>
      <c r="I15" s="137"/>
      <c r="J15" s="137"/>
      <c r="K15" s="125"/>
      <c r="L15" s="125"/>
      <c r="M15" s="135"/>
      <c r="N15" s="139"/>
      <c r="O15" s="61"/>
      <c r="Q15" s="62"/>
    </row>
    <row r="16" spans="1:23" x14ac:dyDescent="0.35">
      <c r="B16" s="103" t="s">
        <v>4</v>
      </c>
      <c r="C16" s="105">
        <v>25000</v>
      </c>
      <c r="D16" s="59"/>
      <c r="E16" s="120"/>
      <c r="F16" s="59"/>
      <c r="G16" s="122">
        <f t="shared" ref="G16" si="3">I16*12</f>
        <v>120</v>
      </c>
      <c r="H16" s="105"/>
      <c r="I16" s="136">
        <v>10</v>
      </c>
      <c r="J16" s="136">
        <v>50000</v>
      </c>
      <c r="K16" s="124">
        <v>3.64</v>
      </c>
      <c r="L16" s="124"/>
      <c r="M16" s="134">
        <v>0.03</v>
      </c>
      <c r="N16" s="138" cm="1">
        <f t="array" aca="1" ref="N16" ca="1">IF(C16="",IF(D17=0,-H16+SUMPRODUCT((((J16/100)*K16)+L16+F17)/(1+M16)^Vectors!$A$3:INDIRECT(CONCATENATE("Vectors!A",Urbà!I16+2))),-H16+SUMPRODUCT((J16/100)*K16/(1+M16)^Vectors!$A$3:INDIRECT(CONCATENATE("Vectors!A",Urbà!I16+2)))+SUMPRODUCT(D17/(1+M16)^Vectors!$A$3:INDIRECT(CONCATENATE("Vectors!A",(Urbà!E16)/12+2)))),C16-H16+SUMPRODUCT((J16/100)*K16/(1+M16)^Vectors!$A$3:INDIRECT(CONCATENATE("Vectors!A",Urbà!I16+2))))</f>
        <v>40524.969162932015</v>
      </c>
      <c r="O16" s="61"/>
      <c r="Q16" s="63"/>
    </row>
    <row r="17" spans="2:21" x14ac:dyDescent="0.35">
      <c r="B17" s="104"/>
      <c r="C17" s="106"/>
      <c r="D17" s="51">
        <f>D16*12</f>
        <v>0</v>
      </c>
      <c r="E17" s="121"/>
      <c r="F17" s="51">
        <f t="shared" ref="F17" si="4">F16*12</f>
        <v>0</v>
      </c>
      <c r="G17" s="123"/>
      <c r="H17" s="106"/>
      <c r="I17" s="137"/>
      <c r="J17" s="137"/>
      <c r="K17" s="125"/>
      <c r="L17" s="125"/>
      <c r="M17" s="135"/>
      <c r="N17" s="139"/>
      <c r="O17" s="61"/>
      <c r="Q17" s="63"/>
    </row>
    <row r="18" spans="2:21" x14ac:dyDescent="0.35">
      <c r="B18" s="103" t="s">
        <v>5</v>
      </c>
      <c r="C18" s="105">
        <v>41118</v>
      </c>
      <c r="D18" s="59"/>
      <c r="E18" s="120"/>
      <c r="F18" s="59"/>
      <c r="G18" s="122">
        <f t="shared" ref="G18" si="5">I18*12</f>
        <v>120</v>
      </c>
      <c r="H18" s="105">
        <v>5000</v>
      </c>
      <c r="I18" s="136">
        <v>10</v>
      </c>
      <c r="J18" s="136">
        <v>50000</v>
      </c>
      <c r="K18" s="124">
        <f>K12-K12*0.15</f>
        <v>8.7635000000000005</v>
      </c>
      <c r="L18" s="124"/>
      <c r="M18" s="134">
        <v>0.03</v>
      </c>
      <c r="N18" s="138" cm="1">
        <f t="array" aca="1" ref="N18" ca="1">IF(C18="",IF(D19=0,-H18+SUMPRODUCT((((J18/100)*K18)+L18+F19)/(1+M18)^Vectors!$A$3:INDIRECT(CONCATENATE("Vectors!A",Urbà!I18+2))),-H18+SUMPRODUCT((J18/100)*K18/(1+M18)^Vectors!$A$3:INDIRECT(CONCATENATE("Vectors!A",Urbà!I18+2)))+SUMPRODUCT(D19/(1+M18)^Vectors!$A$3:INDIRECT(CONCATENATE("Vectors!A",(Urbà!E18)/12+2)))),C18-H18+SUMPRODUCT((J18/100)*K18/(1+M18)^Vectors!$A$3:INDIRECT(CONCATENATE("Vectors!A",Urbà!I18+2))))</f>
        <v>73495.216280042499</v>
      </c>
      <c r="O18" s="61"/>
      <c r="Q18" s="63"/>
    </row>
    <row r="19" spans="2:21" x14ac:dyDescent="0.35">
      <c r="B19" s="104"/>
      <c r="C19" s="106"/>
      <c r="D19" s="51">
        <f>D18*12</f>
        <v>0</v>
      </c>
      <c r="E19" s="121"/>
      <c r="F19" s="51">
        <f t="shared" ref="F19" si="6">F18*12</f>
        <v>0</v>
      </c>
      <c r="G19" s="123"/>
      <c r="H19" s="106"/>
      <c r="I19" s="137"/>
      <c r="J19" s="137"/>
      <c r="K19" s="125"/>
      <c r="L19" s="125"/>
      <c r="M19" s="135"/>
      <c r="N19" s="139"/>
      <c r="O19" s="61"/>
      <c r="Q19" s="63"/>
    </row>
    <row r="20" spans="2:21" x14ac:dyDescent="0.35">
      <c r="B20" s="131" t="s">
        <v>6</v>
      </c>
      <c r="C20" s="132">
        <v>48300</v>
      </c>
      <c r="D20" s="59"/>
      <c r="E20" s="133"/>
      <c r="F20" s="59"/>
      <c r="G20" s="122">
        <f t="shared" ref="G20" si="7">I20*12</f>
        <v>120</v>
      </c>
      <c r="H20" s="105"/>
      <c r="I20" s="136">
        <v>10</v>
      </c>
      <c r="J20" s="136">
        <v>50000</v>
      </c>
      <c r="K20" s="124">
        <v>8</v>
      </c>
      <c r="L20" s="124"/>
      <c r="M20" s="134">
        <v>0.03</v>
      </c>
      <c r="N20" s="138" cm="1">
        <f t="array" aca="1" ref="N20" ca="1">IF(C20="",IF(D21=0,-H20+SUMPRODUCT((((J20/100)*K20)+L20+F21)/(1+M20)^Vectors!$A$3:INDIRECT(CONCATENATE("Vectors!A",Urbà!I20+2))),-H20+SUMPRODUCT((J20/100)*K20/(1+M20)^Vectors!$A$3:INDIRECT(CONCATENATE("Vectors!A",Urbà!I20+2)))+SUMPRODUCT(D21/(1+M20)^Vectors!$A$3:INDIRECT(CONCATENATE("Vectors!A",(Urbà!E20)/12+2)))),C20-H20+SUMPRODUCT((J20/100)*K20/(1+M20)^Vectors!$A$3:INDIRECT(CONCATENATE("Vectors!A",Urbà!I20+2))))</f>
        <v>82420.811347103314</v>
      </c>
      <c r="O20" s="61"/>
    </row>
    <row r="21" spans="2:21" x14ac:dyDescent="0.35">
      <c r="B21" s="131"/>
      <c r="C21" s="132"/>
      <c r="D21" s="51">
        <f>12*D20</f>
        <v>0</v>
      </c>
      <c r="E21" s="133"/>
      <c r="F21" s="51">
        <f t="shared" ref="F21" si="8">12*F20</f>
        <v>0</v>
      </c>
      <c r="G21" s="123"/>
      <c r="H21" s="106"/>
      <c r="I21" s="137"/>
      <c r="J21" s="137"/>
      <c r="K21" s="125"/>
      <c r="L21" s="125"/>
      <c r="M21" s="135"/>
      <c r="N21" s="139"/>
      <c r="O21" s="61"/>
    </row>
    <row r="23" spans="2:21" x14ac:dyDescent="0.35">
      <c r="B23" s="107" t="s">
        <v>26</v>
      </c>
      <c r="C23" s="107"/>
      <c r="D23" s="107"/>
      <c r="E23" s="107"/>
      <c r="F23" s="107"/>
      <c r="G23" s="107"/>
      <c r="H23" s="107"/>
      <c r="I23" s="107"/>
      <c r="J23" s="107"/>
      <c r="K23" s="107"/>
    </row>
    <row r="24" spans="2:21" x14ac:dyDescent="0.35">
      <c r="B24" s="52" t="s">
        <v>1</v>
      </c>
      <c r="C24" s="52" t="str">
        <f>CONCATENATE(Vectors!B2," km/any")</f>
        <v>0 km/any</v>
      </c>
      <c r="D24" s="52" t="str">
        <f>CONCATENATE(Vectors!B3," km/any")</f>
        <v>12500 km/any</v>
      </c>
      <c r="E24" s="52" t="str">
        <f>CONCATENATE(Vectors!B4," km/any")</f>
        <v>25000 km/any</v>
      </c>
      <c r="F24" s="52" t="str">
        <f>CONCATENATE(Vectors!B5," km/any")</f>
        <v>37500 km/any</v>
      </c>
      <c r="G24" s="52" t="str">
        <f>CONCATENATE(Vectors!B6," km/any")</f>
        <v>50000 km/any</v>
      </c>
      <c r="H24" s="52" t="str">
        <f>CONCATENATE(Vectors!B7," km/any")</f>
        <v>62500 km/any</v>
      </c>
      <c r="I24" s="52" t="str">
        <f>CONCATENATE(Vectors!B8," km/any")</f>
        <v>75000 km/any</v>
      </c>
      <c r="J24" s="52" t="str">
        <f>CONCATENATE(Vectors!B9," km/any")</f>
        <v>87500 km/any</v>
      </c>
      <c r="K24" s="52" t="str">
        <f>CONCATENATE(Vectors!B10," km/any")</f>
        <v>100000 km/any</v>
      </c>
    </row>
    <row r="25" spans="2:21" x14ac:dyDescent="0.35">
      <c r="B25" s="53" t="s">
        <v>2</v>
      </c>
      <c r="C25" s="54" cm="1">
        <f t="array" aca="1" ref="C25" ca="1">IF($C12="",IF($D13=0,-$H12+SUMPRODUCT(((Vectors!$B$2*$K$12/100)+$L12+$F13)/(1+$M12)^Vectors!$A$3:INDIRECT(CONCATENATE("Vectors!A",MIN($I$12:$I$20)+2))), -$H12+SUMPRODUCT(((Vectors!$B$2*$K$12/100)+$L12)/(1+$M12)^Vectors!$A$3:INDIRECT(CONCATENATE("Vectors!A",MIN($I$12:$I$20)+2)))+SUMPRODUCT(($D13)/(1+$M12)^Vectors!$A$3:INDIRECT(CONCATENATE("Vectors!A",$E12/12+2)))),$C12-$H12+SUMPRODUCT(((Vectors!$B$2*$K$12/100)+$L12)/(1+$M12)^Vectors!$A$3:INDIRECT(CONCATENATE("Vectors!A",MIN($I$12:$I$20)+2))))</f>
        <v>23856.52</v>
      </c>
      <c r="D25" s="54" cm="1">
        <f t="array" aca="1" ref="D25" ca="1">IF($C12="",IF($D13=0,-$H12+SUMPRODUCT(((Vectors!$B$3*$K$12/100)+$L12+$F13)/(1+$M12)^Vectors!$A$3:INDIRECT(CONCATENATE("Vectors!A",MIN($I$12:$I$20)+2))), -$H12+SUMPRODUCT(((Vectors!$B$3*$K$12/100)+$L12)/(1+$M12)^Vectors!$A$3:INDIRECT(CONCATENATE("Vectors!A",MIN($I$12:$I$20)+2)))+SUMPRODUCT(($D13)/(1+$M12)^Vectors!$A$3:INDIRECT(CONCATENATE("Vectors!A",$E12/12+2)))),$C12-$H12+SUMPRODUCT(((Vectors!$B$3*$K$12/100)+$L12)/(1+$M12)^Vectors!$A$3:INDIRECT(CONCATENATE("Vectors!A",MIN($I$12:$I$20)+2))))</f>
        <v>32903.148309263852</v>
      </c>
      <c r="E25" s="54" cm="1">
        <f t="array" aca="1" ref="E25" ca="1">IF($C12="",IF($D13=0,-$H12+SUMPRODUCT(((Vectors!$B$4*$K$12/100)+$L12+$F13)/(1+$M12)^Vectors!$A$3:INDIRECT(CONCATENATE("Vectors!A",MIN($I$12:$I$20)+2))), -$H12+SUMPRODUCT(((Vectors!$B$4*$K$12/100)+$L12)/(1+$M12)^Vectors!$A$3:INDIRECT(CONCATENATE("Vectors!A",MIN($I$12:$I$20)+2)))+SUMPRODUCT(($D13)/(1+$M12)^Vectors!$A$3:INDIRECT(CONCATENATE("Vectors!A",$E12/12+2)))),$C12-$H12+SUMPRODUCT(((Vectors!$B$4*$K$12/100)+$L12)/(1+$M12)^Vectors!$A$3:INDIRECT(CONCATENATE("Vectors!A",MIN($I$12:$I$20)+2))))</f>
        <v>41949.7766185277</v>
      </c>
      <c r="F25" s="54" cm="1">
        <f t="array" aca="1" ref="F25" ca="1">IF($C12="",IF($D13=0,-$H12+SUMPRODUCT(((Vectors!$B$5*$K$12/100)+$L12+$F13)/(1+$M12)^Vectors!$A$3:INDIRECT(CONCATENATE("Vectors!A",MIN($I$12:$I$20)+2))), -$H12+SUMPRODUCT(((Vectors!$B$5*$K$12/100)+$L12)/(1+$M12)^Vectors!$A$3:INDIRECT(CONCATENATE("Vectors!A",MIN($I$12:$I$20)+2)))+SUMPRODUCT(($D13)/(1+$M12)^Vectors!$A$3:INDIRECT(CONCATENATE("Vectors!A",$E12/12+2)))),$C12-$H12+SUMPRODUCT(((Vectors!$B$5*$K$12/100)+$L12)/(1+$M12)^Vectors!$A$3:INDIRECT(CONCATENATE("Vectors!A",MIN($I$12:$I$20)+2))))</f>
        <v>50996.404927791547</v>
      </c>
      <c r="G25" s="54" cm="1">
        <f t="array" aca="1" ref="G25" ca="1">IF($C12="",IF($D13=0,-$H12+SUMPRODUCT(((Vectors!$B$6*$K$12/100)+$L12+$F13)/(1+$M12)^Vectors!$A$3:INDIRECT(CONCATENATE("Vectors!A",MIN($I$12:$I$20)+2))), -$H12+SUMPRODUCT(((Vectors!$B$6*$K$12/100)+$L12)/(1+$M12)^Vectors!$A$3:INDIRECT(CONCATENATE("Vectors!A",MIN($I$12:$I$20)+2)))+SUMPRODUCT(($D13)/(1+$M12)^Vectors!$A$3:INDIRECT(CONCATENATE("Vectors!A",$E12/12+2)))),$C12-$H12+SUMPRODUCT(((Vectors!$B$6*$K$12/100)+$L12)/(1+$M12)^Vectors!$A$3:INDIRECT(CONCATENATE("Vectors!A",MIN($I$12:$I$20)+2))))</f>
        <v>60043.033237055395</v>
      </c>
      <c r="H25" s="54" cm="1">
        <f t="array" aca="1" ref="H25" ca="1">IF($C12="",IF($D13=0,-$H12+SUMPRODUCT(((Vectors!$B$7*$K$12/100)+$L12+$F13)/(1+$M12)^Vectors!$A$3:INDIRECT(CONCATENATE("Vectors!A",MIN($I$12:$I$20)+2))), -$H12+SUMPRODUCT(((Vectors!$B$7*$K$12/100)+$L12)/(1+$M12)^Vectors!$A$3:INDIRECT(CONCATENATE("Vectors!A",MIN($I$12:$I$20)+2)))+SUMPRODUCT(($D13)/(1+$M12)^Vectors!$A$3:INDIRECT(CONCATENATE("Vectors!A",$E12/12+2)))),$C12-$H12+SUMPRODUCT(((Vectors!$B$7*$K$12/100)+$L12)/(1+$M12)^Vectors!$A$3:INDIRECT(CONCATENATE("Vectors!A",MIN($I$12:$I$20)+2))))</f>
        <v>69089.661546319243</v>
      </c>
      <c r="I25" s="54" cm="1">
        <f t="array" aca="1" ref="I25" ca="1">IF($C12="",IF($D13=0,-$H12+SUMPRODUCT(((Vectors!$B$8*$K$12/100)+$L12+$F13)/(1+$M12)^Vectors!$A$3:INDIRECT(CONCATENATE("Vectors!A",MIN($I$12:$I$20)+2))), -$H12+SUMPRODUCT(((Vectors!$B$8*$K$12/100)+$L12)/(1+$M12)^Vectors!$A$3:INDIRECT(CONCATENATE("Vectors!A",MIN($I$12:$I$20)+2)))+SUMPRODUCT(($D13)/(1+$M12)^Vectors!$A$3:INDIRECT(CONCATENATE("Vectors!A",$E12/12+2)))),$C12-$H12+SUMPRODUCT(((Vectors!$B$8*$K$12/100)+$L12)/(1+$M12)^Vectors!$A$3:INDIRECT(CONCATENATE("Vectors!A",MIN($I$12:$I$20)+2))))</f>
        <v>78136.289855583091</v>
      </c>
      <c r="J25" s="54" cm="1">
        <f t="array" aca="1" ref="J25" ca="1">IF($C12="",IF($D13=0,-$H12+SUMPRODUCT(((Vectors!$B$9*$K$12/100)+$L12+$F13)/(1+$M12)^Vectors!$A$3:INDIRECT(CONCATENATE("Vectors!A",MIN($I$12:$I$20)+2))), -$H12+SUMPRODUCT(((Vectors!$B$9*$K$12/100)+$L12)/(1+$M12)^Vectors!$A$3:INDIRECT(CONCATENATE("Vectors!A",MIN($I$12:$I$20)+2)))+SUMPRODUCT(($D13)/(1+$M12)^Vectors!$A$3:INDIRECT(CONCATENATE("Vectors!A",$E12/12+2)))),$C12-$H12+SUMPRODUCT(((Vectors!$B$9*$K$12/100)+$L12)/(1+$M12)^Vectors!$A$3:INDIRECT(CONCATENATE("Vectors!A",MIN($I$12:$I$20)+2))))</f>
        <v>87182.918164846938</v>
      </c>
      <c r="K25" s="54" cm="1">
        <f t="array" aca="1" ref="K25" ca="1">IF($C12="",IF($D13=0,-$H12+SUMPRODUCT(((Vectors!$B$10*$K$12/100)+$L12+$F13)/(1+$M12)^Vectors!$A$3:INDIRECT(CONCATENATE("Vectors!A",MIN($I$12:$I$20)+2))), -$H12+SUMPRODUCT(((Vectors!$B$10*$K$12/100)+$L12)/(1+$M12)^Vectors!$A$3:INDIRECT(CONCATENATE("Vectors!A",MIN($I$12:$I$20)+2)))+SUMPRODUCT(($D13)/(1+$M12)^Vectors!$A$3:INDIRECT(CONCATENATE("Vectors!A",$E12/12+2)))),$C12-$H12+SUMPRODUCT(((Vectors!$B$10*$K$12/100)+$L12)/(1+$M12)^Vectors!$A$3:INDIRECT(CONCATENATE("Vectors!A",MIN($I$12:$I$20)+2))))</f>
        <v>96229.546474110786</v>
      </c>
    </row>
    <row r="26" spans="2:21" x14ac:dyDescent="0.35">
      <c r="B26" s="53" t="s">
        <v>3</v>
      </c>
      <c r="C26" s="54" cm="1">
        <f t="array" aca="1" ref="C26" ca="1">IF($C14="",IF($D15=0,-$H14+SUMPRODUCT(((Vectors!$B$2*$K$14/100)+$L14+$F15)/(1+$M14)^Vectors!$A$3:INDIRECT(CONCATENATE("Vectors!A",MIN($I$12:$I$20)+2))), -$H14+SUMPRODUCT(((Vectors!$B$2*$K$14/100)+$L14)/(1+$M14)^Vectors!$A$3:INDIRECT(CONCATENATE("Vectors!A",MIN($I$12:$I$20)+2)))+SUMPRODUCT(($D15)/(1+$M14)^Vectors!$A$3:INDIRECT(CONCATENATE("Vectors!A",$E14/12+2)))),$C14-$H14+SUMPRODUCT(((Vectors!$B$2*$K$14/100)+$L14)/(1+$M14)^Vectors!$A$3:INDIRECT(CONCATENATE("Vectors!A",MIN($I$12:$I$20)+2))))</f>
        <v>61320</v>
      </c>
      <c r="D26" s="54" cm="1">
        <f t="array" aca="1" ref="D26" ca="1">IF($C14="",IF($D15=0,-$H14+SUMPRODUCT(((Vectors!$B$3*$K$14/100)+$L14+$F15)/(1+$M14)^Vectors!$A$3:INDIRECT(CONCATENATE("Vectors!A",MIN($I$12:$I$20)+2))), -$H14+SUMPRODUCT(((Vectors!$B$3*$K$14/100)+$L14)/(1+$M14)^Vectors!$A$3:INDIRECT(CONCATENATE("Vectors!A",MIN($I$12:$I$20)+2)))+SUMPRODUCT(($D15)/(1+$M14)^Vectors!$A$3:INDIRECT(CONCATENATE("Vectors!A",$E14/12+2)))),$C14-$H14+SUMPRODUCT(((Vectors!$B$3*$K$14/100)+$L14)/(1+$M14)^Vectors!$A$3:INDIRECT(CONCATENATE("Vectors!A",MIN($I$12:$I$20)+2))))</f>
        <v>63425.907656860647</v>
      </c>
      <c r="E26" s="54" cm="1">
        <f t="array" aca="1" ref="E26" ca="1">IF($C14="",IF($D15=0,-$H14+SUMPRODUCT(((Vectors!$B$4*$K$14/100)+$L14+$F15)/(1+$M14)^Vectors!$A$3:INDIRECT(CONCATENATE("Vectors!A",MIN($I$12:$I$20)+2))), -$H14+SUMPRODUCT(((Vectors!$B$4*$K$14/100)+$L14)/(1+$M14)^Vectors!$A$3:INDIRECT(CONCATENATE("Vectors!A",MIN($I$12:$I$20)+2)))+SUMPRODUCT(($D15)/(1+$M14)^Vectors!$A$3:INDIRECT(CONCATENATE("Vectors!A",$E14/12+2)))),$C14-$H14+SUMPRODUCT(((Vectors!$B$4*$K$14/100)+$L14)/(1+$M14)^Vectors!$A$3:INDIRECT(CONCATENATE("Vectors!A",MIN($I$12:$I$20)+2))))</f>
        <v>65531.815313721287</v>
      </c>
      <c r="F26" s="54" cm="1">
        <f t="array" aca="1" ref="F26" ca="1">IF($C14="",IF($D15=0,-$H14+SUMPRODUCT(((Vectors!$B$5*$K$14/100)+$L14+$F15)/(1+$M14)^Vectors!$A$3:INDIRECT(CONCATENATE("Vectors!A",MIN($I$12:$I$20)+2))), -$H14+SUMPRODUCT(((Vectors!$B$5*$K$14/100)+$L14)/(1+$M14)^Vectors!$A$3:INDIRECT(CONCATENATE("Vectors!A",MIN($I$12:$I$20)+2)))+SUMPRODUCT(($D15)/(1+$M14)^Vectors!$A$3:INDIRECT(CONCATENATE("Vectors!A",$E14/12+2)))),$C14-$H14+SUMPRODUCT(((Vectors!$B$5*$K$14/100)+$L14)/(1+$M14)^Vectors!$A$3:INDIRECT(CONCATENATE("Vectors!A",MIN($I$12:$I$20)+2))))</f>
        <v>67637.722970581934</v>
      </c>
      <c r="G26" s="54" cm="1">
        <f t="array" aca="1" ref="G26" ca="1">IF($C14="",IF($D15=0,-$H14+SUMPRODUCT(((Vectors!$B$6*$K$14/100)+$L14+$F15)/(1+$M14)^Vectors!$A$3:INDIRECT(CONCATENATE("Vectors!A",MIN($I$12:$I$20)+2))), -$H14+SUMPRODUCT(((Vectors!$B$6*$K$14/100)+$L14)/(1+$M14)^Vectors!$A$3:INDIRECT(CONCATENATE("Vectors!A",MIN($I$12:$I$20)+2)))+SUMPRODUCT(($D15)/(1+$M14)^Vectors!$A$3:INDIRECT(CONCATENATE("Vectors!A",$E14/12+2)))),$C14-$H14+SUMPRODUCT(((Vectors!$B$6*$K$14/100)+$L14)/(1+$M14)^Vectors!$A$3:INDIRECT(CONCATENATE("Vectors!A",MIN($I$12:$I$20)+2))))</f>
        <v>69743.630627442573</v>
      </c>
      <c r="H26" s="54" cm="1">
        <f t="array" aca="1" ref="H26" ca="1">IF($C14="",IF($D15=0,-$H14+SUMPRODUCT(((Vectors!$B$7*$K$14/100)+$L14+$F15)/(1+$M14)^Vectors!$A$3:INDIRECT(CONCATENATE("Vectors!A",MIN($I$12:$I$20)+2))), -$H14+SUMPRODUCT(((Vectors!$B$7*$K$14/100)+$L14)/(1+$M14)^Vectors!$A$3:INDIRECT(CONCATENATE("Vectors!A",MIN($I$12:$I$20)+2)))+SUMPRODUCT(($D15)/(1+$M14)^Vectors!$A$3:INDIRECT(CONCATENATE("Vectors!A",$E14/12+2)))),$C14-$H14+SUMPRODUCT(((Vectors!$B$7*$K$14/100)+$L14)/(1+$M14)^Vectors!$A$3:INDIRECT(CONCATENATE("Vectors!A",MIN($I$12:$I$20)+2))))</f>
        <v>71849.538284303213</v>
      </c>
      <c r="I26" s="54" cm="1">
        <f t="array" aca="1" ref="I26" ca="1">IF($C14="",IF($D15=0,-$H14+SUMPRODUCT(((Vectors!$B$8*$K$14/100)+$L14+$F15)/(1+$M14)^Vectors!$A$3:INDIRECT(CONCATENATE("Vectors!A",MIN($I$12:$I$20)+2))), -$H14+SUMPRODUCT(((Vectors!$B$8*$K$14/100)+$L14)/(1+$M14)^Vectors!$A$3:INDIRECT(CONCATENATE("Vectors!A",MIN($I$12:$I$20)+2)))+SUMPRODUCT(($D15)/(1+$M14)^Vectors!$A$3:INDIRECT(CONCATENATE("Vectors!A",$E14/12+2)))),$C14-$H14+SUMPRODUCT(((Vectors!$B$8*$K$14/100)+$L14)/(1+$M14)^Vectors!$A$3:INDIRECT(CONCATENATE("Vectors!A",MIN($I$12:$I$20)+2))))</f>
        <v>73955.445941163867</v>
      </c>
      <c r="J26" s="54" cm="1">
        <f t="array" aca="1" ref="J26" ca="1">IF($C14="",IF($D15=0,-$H14+SUMPRODUCT(((Vectors!$B$9*$K$14/100)+$L14+$F15)/(1+$M14)^Vectors!$A$3:INDIRECT(CONCATENATE("Vectors!A",MIN($I$12:$I$20)+2))), -$H14+SUMPRODUCT(((Vectors!$B$9*$K$14/100)+$L14)/(1+$M14)^Vectors!$A$3:INDIRECT(CONCATENATE("Vectors!A",MIN($I$12:$I$20)+2)))+SUMPRODUCT(($D15)/(1+$M14)^Vectors!$A$3:INDIRECT(CONCATENATE("Vectors!A",$E14/12+2)))),$C14-$H14+SUMPRODUCT(((Vectors!$B$9*$K$14/100)+$L14)/(1+$M14)^Vectors!$A$3:INDIRECT(CONCATENATE("Vectors!A",MIN($I$12:$I$20)+2))))</f>
        <v>76061.353598024507</v>
      </c>
      <c r="K26" s="54" cm="1">
        <f t="array" aca="1" ref="K26" ca="1">IF($C14="",IF($D15=0,-$H14+SUMPRODUCT(((Vectors!$B$10*$K$14/100)+$L14+$F15)/(1+$M14)^Vectors!$A$3:INDIRECT(CONCATENATE("Vectors!A",MIN($I$12:$I$20)+2))), -$H14+SUMPRODUCT(((Vectors!$B$10*$K$14/100)+$L14)/(1+$M14)^Vectors!$A$3:INDIRECT(CONCATENATE("Vectors!A",MIN($I$12:$I$20)+2)))+SUMPRODUCT(($D15)/(1+$M14)^Vectors!$A$3:INDIRECT(CONCATENATE("Vectors!A",$E14/12+2)))),$C14-$H14+SUMPRODUCT(((Vectors!$B$10*$K$14/100)+$L14)/(1+$M14)^Vectors!$A$3:INDIRECT(CONCATENATE("Vectors!A",MIN($I$12:$I$20)+2))))</f>
        <v>78167.261254885147</v>
      </c>
    </row>
    <row r="27" spans="2:21" x14ac:dyDescent="0.35">
      <c r="B27" s="53" t="s">
        <v>4</v>
      </c>
      <c r="C27" s="54" cm="1">
        <f t="array" aca="1" ref="C27" ca="1">IF($C16="",IF($D17=0,-$H16+SUMPRODUCT(((Vectors!$B$2*$K$16/100)+$L16+$F17)/(1+$M16)^Vectors!$A$3:INDIRECT(CONCATENATE("Vectors!A",MIN($I$12:$I$20)+2))), -$H16+SUMPRODUCT(((Vectors!$B$2*$K$16/100)+$L16)/(1+$M16)^Vectors!$A$3:INDIRECT(CONCATENATE("Vectors!A",MIN($I$12:$I$20)+2)))+SUMPRODUCT(($D17)/(1+$M16)^Vectors!$A$3:INDIRECT(CONCATENATE("Vectors!A",$E16/12+2)))),$C16-$H16+SUMPRODUCT(((Vectors!$B$2*$K$16/100)+$L16)/(1+$M16)^Vectors!$A$3:INDIRECT(CONCATENATE("Vectors!A",MIN($I$12:$I$20)+2))))</f>
        <v>25000</v>
      </c>
      <c r="D27" s="54" cm="1">
        <f t="array" aca="1" ref="D27" ca="1">IF($C16="",IF($D17=0,-$H16+SUMPRODUCT(((Vectors!$B$3*$K$16/100)+$L16+$F17)/(1+$M16)^Vectors!$A$3:INDIRECT(CONCATENATE("Vectors!A",MIN($I$12:$I$20)+2))), -$H16+SUMPRODUCT(((Vectors!$B$3*$K$16/100)+$L16)/(1+$M16)^Vectors!$A$3:INDIRECT(CONCATENATE("Vectors!A",MIN($I$12:$I$20)+2)))+SUMPRODUCT(($D17)/(1+$M16)^Vectors!$A$3:INDIRECT(CONCATENATE("Vectors!A",$E16/12+2)))),$C16-$H16+SUMPRODUCT(((Vectors!$B$3*$K$16/100)+$L16)/(1+$M16)^Vectors!$A$3:INDIRECT(CONCATENATE("Vectors!A",MIN($I$12:$I$20)+2))))</f>
        <v>28193.959946238643</v>
      </c>
      <c r="E27" s="54" cm="1">
        <f t="array" aca="1" ref="E27" ca="1">IF($C16="",IF($D17=0,-$H16+SUMPRODUCT(((Vectors!$B$4*$K$16/100)+$L16+$F17)/(1+$M16)^Vectors!$A$3:INDIRECT(CONCATENATE("Vectors!A",MIN($I$12:$I$20)+2))), -$H16+SUMPRODUCT(((Vectors!$B$4*$K$16/100)+$L16)/(1+$M16)^Vectors!$A$3:INDIRECT(CONCATENATE("Vectors!A",MIN($I$12:$I$20)+2)))+SUMPRODUCT(($D17)/(1+$M16)^Vectors!$A$3:INDIRECT(CONCATENATE("Vectors!A",$E16/12+2)))),$C16-$H16+SUMPRODUCT(((Vectors!$B$4*$K$16/100)+$L16)/(1+$M16)^Vectors!$A$3:INDIRECT(CONCATENATE("Vectors!A",MIN($I$12:$I$20)+2))))</f>
        <v>31387.919892477286</v>
      </c>
      <c r="F27" s="54" cm="1">
        <f t="array" aca="1" ref="F27" ca="1">IF($C16="",IF($D17=0,-$H16+SUMPRODUCT(((Vectors!$B$5*$K$16/100)+$L16+$F17)/(1+$M16)^Vectors!$A$3:INDIRECT(CONCATENATE("Vectors!A",MIN($I$12:$I$20)+2))), -$H16+SUMPRODUCT(((Vectors!$B$5*$K$16/100)+$L16)/(1+$M16)^Vectors!$A$3:INDIRECT(CONCATENATE("Vectors!A",MIN($I$12:$I$20)+2)))+SUMPRODUCT(($D17)/(1+$M16)^Vectors!$A$3:INDIRECT(CONCATENATE("Vectors!A",$E16/12+2)))),$C16-$H16+SUMPRODUCT(((Vectors!$B$5*$K$16/100)+$L16)/(1+$M16)^Vectors!$A$3:INDIRECT(CONCATENATE("Vectors!A",MIN($I$12:$I$20)+2))))</f>
        <v>34581.879838715926</v>
      </c>
      <c r="G27" s="54" cm="1">
        <f t="array" aca="1" ref="G27" ca="1">IF($C16="",IF($D17=0,-$H16+SUMPRODUCT(((Vectors!$B$6*$K$16/100)+$L16+$F17)/(1+$M16)^Vectors!$A$3:INDIRECT(CONCATENATE("Vectors!A",MIN($I$12:$I$20)+2))), -$H16+SUMPRODUCT(((Vectors!$B$6*$K$16/100)+$L16)/(1+$M16)^Vectors!$A$3:INDIRECT(CONCATENATE("Vectors!A",MIN($I$12:$I$20)+2)))+SUMPRODUCT(($D17)/(1+$M16)^Vectors!$A$3:INDIRECT(CONCATENATE("Vectors!A",$E16/12+2)))),$C16-$H16+SUMPRODUCT(((Vectors!$B$6*$K$16/100)+$L16)/(1+$M16)^Vectors!$A$3:INDIRECT(CONCATENATE("Vectors!A",MIN($I$12:$I$20)+2))))</f>
        <v>37775.839784954573</v>
      </c>
      <c r="H27" s="54" cm="1">
        <f t="array" aca="1" ref="H27" ca="1">IF($C16="",IF($D17=0,-$H16+SUMPRODUCT(((Vectors!$B$7*$K$16/100)+$L16+$F17)/(1+$M16)^Vectors!$A$3:INDIRECT(CONCATENATE("Vectors!A",MIN($I$12:$I$20)+2))), -$H16+SUMPRODUCT(((Vectors!$B$7*$K$16/100)+$L16)/(1+$M16)^Vectors!$A$3:INDIRECT(CONCATENATE("Vectors!A",MIN($I$12:$I$20)+2)))+SUMPRODUCT(($D17)/(1+$M16)^Vectors!$A$3:INDIRECT(CONCATENATE("Vectors!A",$E16/12+2)))),$C16-$H16+SUMPRODUCT(((Vectors!$B$7*$K$16/100)+$L16)/(1+$M16)^Vectors!$A$3:INDIRECT(CONCATENATE("Vectors!A",MIN($I$12:$I$20)+2))))</f>
        <v>40969.799731193212</v>
      </c>
      <c r="I27" s="54" cm="1">
        <f t="array" aca="1" ref="I27" ca="1">IF($C16="",IF($D17=0,-$H16+SUMPRODUCT(((Vectors!$B$8*$K$16/100)+$L16+$F17)/(1+$M16)^Vectors!$A$3:INDIRECT(CONCATENATE("Vectors!A",MIN($I$12:$I$20)+2))), -$H16+SUMPRODUCT(((Vectors!$B$8*$K$16/100)+$L16)/(1+$M16)^Vectors!$A$3:INDIRECT(CONCATENATE("Vectors!A",MIN($I$12:$I$20)+2)))+SUMPRODUCT(($D17)/(1+$M16)^Vectors!$A$3:INDIRECT(CONCATENATE("Vectors!A",$E16/12+2)))),$C16-$H16+SUMPRODUCT(((Vectors!$B$8*$K$16/100)+$L16)/(1+$M16)^Vectors!$A$3:INDIRECT(CONCATENATE("Vectors!A",MIN($I$12:$I$20)+2))))</f>
        <v>44163.759677431852</v>
      </c>
      <c r="J27" s="54" cm="1">
        <f t="array" aca="1" ref="J27" ca="1">IF($C16="",IF($D17=0,-$H16+SUMPRODUCT(((Vectors!$B$9*$K$16/100)+$L16+$F17)/(1+$M16)^Vectors!$A$3:INDIRECT(CONCATENATE("Vectors!A",MIN($I$12:$I$20)+2))), -$H16+SUMPRODUCT(((Vectors!$B$9*$K$16/100)+$L16)/(1+$M16)^Vectors!$A$3:INDIRECT(CONCATENATE("Vectors!A",MIN($I$12:$I$20)+2)))+SUMPRODUCT(($D17)/(1+$M16)^Vectors!$A$3:INDIRECT(CONCATENATE("Vectors!A",$E16/12+2)))),$C16-$H16+SUMPRODUCT(((Vectors!$B$9*$K$16/100)+$L16)/(1+$M16)^Vectors!$A$3:INDIRECT(CONCATENATE("Vectors!A",MIN($I$12:$I$20)+2))))</f>
        <v>47357.719623670499</v>
      </c>
      <c r="K27" s="54" cm="1">
        <f t="array" aca="1" ref="K27" ca="1">IF($C16="",IF($D17=0,-$H16+SUMPRODUCT(((Vectors!$B$10*$K$16/100)+$L16+$F17)/(1+$M16)^Vectors!$A$3:INDIRECT(CONCATENATE("Vectors!A",MIN($I$12:$I$20)+2))), -$H16+SUMPRODUCT(((Vectors!$B$10*$K$16/100)+$L16)/(1+$M16)^Vectors!$A$3:INDIRECT(CONCATENATE("Vectors!A",MIN($I$12:$I$20)+2)))+SUMPRODUCT(($D17)/(1+$M16)^Vectors!$A$3:INDIRECT(CONCATENATE("Vectors!A",$E16/12+2)))),$C16-$H16+SUMPRODUCT(((Vectors!$B$10*$K$16/100)+$L16)/(1+$M16)^Vectors!$A$3:INDIRECT(CONCATENATE("Vectors!A",MIN($I$12:$I$20)+2))))</f>
        <v>50551.679569909145</v>
      </c>
    </row>
    <row r="28" spans="2:21" x14ac:dyDescent="0.35">
      <c r="B28" s="53" t="s">
        <v>5</v>
      </c>
      <c r="C28" s="54" cm="1">
        <f t="array" aca="1" ref="C28" ca="1">IF($C18="",IF($D19=0,-$H18+SUMPRODUCT(((Vectors!$B$2*$K$18/100)+$L18+$F19)/(1+$M18)^Vectors!$A$3:INDIRECT(CONCATENATE("Vectors!A",MIN($I$12:$I$20)+2))), -$H18+SUMPRODUCT(((Vectors!$B$2*$K$18/100)+$L18)/(1+$M18)^Vectors!$A$3:INDIRECT(CONCATENATE("Vectors!A",MIN($I$12:$I$20)+2)))+SUMPRODUCT(($D19)/(1+$M18)^Vectors!$A$3:INDIRECT(CONCATENATE("Vectors!A",$E18/12+2)))),$C18-$H18+SUMPRODUCT(((Vectors!$B$2*$K$18/100)+$L18)/(1+$M18)^Vectors!$A$3:INDIRECT(CONCATENATE("Vectors!A",MIN($I$12:$I$20)+2))))</f>
        <v>36118</v>
      </c>
      <c r="D28" s="54" cm="1">
        <f t="array" aca="1" ref="D28" ca="1">IF($C18="",IF($D19=0,-$H18+SUMPRODUCT(((Vectors!$B$3*$K$18/100)+$L18+$F19)/(1+$M18)^Vectors!$A$3:INDIRECT(CONCATENATE("Vectors!A",MIN($I$12:$I$20)+2))), -$H18+SUMPRODUCT(((Vectors!$B$3*$K$18/100)+$L18)/(1+$M18)^Vectors!$A$3:INDIRECT(CONCATENATE("Vectors!A",MIN($I$12:$I$20)+2)))+SUMPRODUCT(($D19)/(1+$M18)^Vectors!$A$3:INDIRECT(CONCATENATE("Vectors!A",$E18/12+2)))),$C18-$H18+SUMPRODUCT(((Vectors!$B$3*$K$18/100)+$L18)/(1+$M18)^Vectors!$A$3:INDIRECT(CONCATENATE("Vectors!A",MIN($I$12:$I$20)+2))))</f>
        <v>43807.634062874269</v>
      </c>
      <c r="E28" s="54" cm="1">
        <f t="array" aca="1" ref="E28" ca="1">IF($C18="",IF($D19=0,-$H18+SUMPRODUCT(((Vectors!$B$4*$K$18/100)+$L18+$F19)/(1+$M18)^Vectors!$A$3:INDIRECT(CONCATENATE("Vectors!A",MIN($I$12:$I$20)+2))), -$H18+SUMPRODUCT(((Vectors!$B$4*$K$18/100)+$L18)/(1+$M18)^Vectors!$A$3:INDIRECT(CONCATENATE("Vectors!A",MIN($I$12:$I$20)+2)))+SUMPRODUCT(($D19)/(1+$M18)^Vectors!$A$3:INDIRECT(CONCATENATE("Vectors!A",$E18/12+2)))),$C18-$H18+SUMPRODUCT(((Vectors!$B$4*$K$18/100)+$L18)/(1+$M18)^Vectors!$A$3:INDIRECT(CONCATENATE("Vectors!A",MIN($I$12:$I$20)+2))))</f>
        <v>51497.268125748538</v>
      </c>
      <c r="F28" s="54" cm="1">
        <f t="array" aca="1" ref="F28" ca="1">IF($C18="",IF($D19=0,-$H18+SUMPRODUCT(((Vectors!$B$5*$K$18/100)+$L18+$F19)/(1+$M18)^Vectors!$A$3:INDIRECT(CONCATENATE("Vectors!A",MIN($I$12:$I$20)+2))), -$H18+SUMPRODUCT(((Vectors!$B$5*$K$18/100)+$L18)/(1+$M18)^Vectors!$A$3:INDIRECT(CONCATENATE("Vectors!A",MIN($I$12:$I$20)+2)))+SUMPRODUCT(($D19)/(1+$M18)^Vectors!$A$3:INDIRECT(CONCATENATE("Vectors!A",$E18/12+2)))),$C18-$H18+SUMPRODUCT(((Vectors!$B$5*$K$18/100)+$L18)/(1+$M18)^Vectors!$A$3:INDIRECT(CONCATENATE("Vectors!A",MIN($I$12:$I$20)+2))))</f>
        <v>59186.902188622815</v>
      </c>
      <c r="G28" s="54" cm="1">
        <f t="array" aca="1" ref="G28" ca="1">IF($C18="",IF($D19=0,-$H18+SUMPRODUCT(((Vectors!$B$6*$K$18/100)+$L18+$F19)/(1+$M18)^Vectors!$A$3:INDIRECT(CONCATENATE("Vectors!A",MIN($I$12:$I$20)+2))), -$H18+SUMPRODUCT(((Vectors!$B$6*$K$18/100)+$L18)/(1+$M18)^Vectors!$A$3:INDIRECT(CONCATENATE("Vectors!A",MIN($I$12:$I$20)+2)))+SUMPRODUCT(($D19)/(1+$M18)^Vectors!$A$3:INDIRECT(CONCATENATE("Vectors!A",$E18/12+2)))),$C18-$H18+SUMPRODUCT(((Vectors!$B$6*$K$18/100)+$L18)/(1+$M18)^Vectors!$A$3:INDIRECT(CONCATENATE("Vectors!A",MIN($I$12:$I$20)+2))))</f>
        <v>66876.536251497077</v>
      </c>
      <c r="H28" s="54" cm="1">
        <f t="array" aca="1" ref="H28" ca="1">IF($C18="",IF($D19=0,-$H18+SUMPRODUCT(((Vectors!$B$7*$K$18/100)+$L18+$F19)/(1+$M18)^Vectors!$A$3:INDIRECT(CONCATENATE("Vectors!A",MIN($I$12:$I$20)+2))), -$H18+SUMPRODUCT(((Vectors!$B$7*$K$18/100)+$L18)/(1+$M18)^Vectors!$A$3:INDIRECT(CONCATENATE("Vectors!A",MIN($I$12:$I$20)+2)))+SUMPRODUCT(($D19)/(1+$M18)^Vectors!$A$3:INDIRECT(CONCATENATE("Vectors!A",$E18/12+2)))),$C18-$H18+SUMPRODUCT(((Vectors!$B$7*$K$18/100)+$L18)/(1+$M18)^Vectors!$A$3:INDIRECT(CONCATENATE("Vectors!A",MIN($I$12:$I$20)+2))))</f>
        <v>74566.170314371353</v>
      </c>
      <c r="I28" s="54" cm="1">
        <f t="array" aca="1" ref="I28" ca="1">IF($C18="",IF($D19=0,-$H18+SUMPRODUCT(((Vectors!$B$8*$K$18/100)+$L18+$F19)/(1+$M18)^Vectors!$A$3:INDIRECT(CONCATENATE("Vectors!A",MIN($I$12:$I$20)+2))), -$H18+SUMPRODUCT(((Vectors!$B$8*$K$18/100)+$L18)/(1+$M18)^Vectors!$A$3:INDIRECT(CONCATENATE("Vectors!A",MIN($I$12:$I$20)+2)))+SUMPRODUCT(($D19)/(1+$M18)^Vectors!$A$3:INDIRECT(CONCATENATE("Vectors!A",$E18/12+2)))),$C18-$H18+SUMPRODUCT(((Vectors!$B$8*$K$18/100)+$L18)/(1+$M18)^Vectors!$A$3:INDIRECT(CONCATENATE("Vectors!A",MIN($I$12:$I$20)+2))))</f>
        <v>82255.804377245629</v>
      </c>
      <c r="J28" s="54" cm="1">
        <f t="array" aca="1" ref="J28" ca="1">IF($C18="",IF($D19=0,-$H18+SUMPRODUCT(((Vectors!$B$9*$K$18/100)+$L18+$F19)/(1+$M18)^Vectors!$A$3:INDIRECT(CONCATENATE("Vectors!A",MIN($I$12:$I$20)+2))), -$H18+SUMPRODUCT(((Vectors!$B$9*$K$18/100)+$L18)/(1+$M18)^Vectors!$A$3:INDIRECT(CONCATENATE("Vectors!A",MIN($I$12:$I$20)+2)))+SUMPRODUCT(($D19)/(1+$M18)^Vectors!$A$3:INDIRECT(CONCATENATE("Vectors!A",$E18/12+2)))),$C18-$H18+SUMPRODUCT(((Vectors!$B$9*$K$18/100)+$L18)/(1+$M18)^Vectors!$A$3:INDIRECT(CONCATENATE("Vectors!A",MIN($I$12:$I$20)+2))))</f>
        <v>89945.438440119906</v>
      </c>
      <c r="K28" s="54" cm="1">
        <f t="array" aca="1" ref="K28" ca="1">IF($C18="",IF($D19=0,-$H18+SUMPRODUCT(((Vectors!$B$10*$K$18/100)+$L18+$F19)/(1+$M18)^Vectors!$A$3:INDIRECT(CONCATENATE("Vectors!A",MIN($I$12:$I$20)+2))), -$H18+SUMPRODUCT(((Vectors!$B$10*$K$18/100)+$L18)/(1+$M18)^Vectors!$A$3:INDIRECT(CONCATENATE("Vectors!A",MIN($I$12:$I$20)+2)))+SUMPRODUCT(($D19)/(1+$M18)^Vectors!$A$3:INDIRECT(CONCATENATE("Vectors!A",$E18/12+2)))),$C18-$H18+SUMPRODUCT(((Vectors!$B$10*$K$18/100)+$L18)/(1+$M18)^Vectors!$A$3:INDIRECT(CONCATENATE("Vectors!A",MIN($I$12:$I$20)+2))))</f>
        <v>97635.072502994168</v>
      </c>
    </row>
    <row r="29" spans="2:21" x14ac:dyDescent="0.35">
      <c r="B29" s="53" t="s">
        <v>6</v>
      </c>
      <c r="C29" s="54" cm="1">
        <f t="array" aca="1" ref="C29" ca="1">IF($C20="",IF($D21=0,-$H20+SUMPRODUCT(((Vectors!$B$2*$K$20/100)+$L20+$F21)/(1+$M20)^Vectors!$A$3:INDIRECT(CONCATENATE("Vectors!A",MIN($I$12:$I$20)+2))), -$H20+SUMPRODUCT(((Vectors!$B$2*$K$20/100)+$L20)/(1+$M20)^Vectors!$A$3:INDIRECT(CONCATENATE("Vectors!A",MIN($I$12:$I$20)+2)))+SUMPRODUCT(($D21)/(1+$M20)^Vectors!$A$3:INDIRECT(CONCATENATE("Vectors!A",$E20/12+2)))),$C20-$H20+SUMPRODUCT(((Vectors!$B$2*$K$20/100)+$L20)/(1+$M20)^Vectors!$A$3:INDIRECT(CONCATENATE("Vectors!A",MIN($I$12:$I$20)+2))))</f>
        <v>48300</v>
      </c>
      <c r="D29" s="54" cm="1">
        <f t="array" aca="1" ref="D29" ca="1">IF($C20="",IF($D21=0,-$H20+SUMPRODUCT(((Vectors!$B$3*$K$20/100)+$L20+$F21)/(1+$M20)^Vectors!$A$3:INDIRECT(CONCATENATE("Vectors!A",MIN($I$12:$I$20)+2))), -$H20+SUMPRODUCT(((Vectors!$B$3*$K$20/100)+$L20)/(1+$M20)^Vectors!$A$3:INDIRECT(CONCATENATE("Vectors!A",MIN($I$12:$I$20)+2)))+SUMPRODUCT(($D21)/(1+$M20)^Vectors!$A$3:INDIRECT(CONCATENATE("Vectors!A",$E20/12+2)))),$C20-$H20+SUMPRODUCT(((Vectors!$B$3*$K$20/100)+$L20)/(1+$M20)^Vectors!$A$3:INDIRECT(CONCATENATE("Vectors!A",MIN($I$12:$I$20)+2))))</f>
        <v>55319.692189535475</v>
      </c>
      <c r="E29" s="54" cm="1">
        <f t="array" aca="1" ref="E29" ca="1">IF($C20="",IF($D21=0,-$H20+SUMPRODUCT(((Vectors!$B$4*$K$20/100)+$L20+$F21)/(1+$M20)^Vectors!$A$3:INDIRECT(CONCATENATE("Vectors!A",MIN($I$12:$I$20)+2))), -$H20+SUMPRODUCT(((Vectors!$B$4*$K$20/100)+$L20)/(1+$M20)^Vectors!$A$3:INDIRECT(CONCATENATE("Vectors!A",MIN($I$12:$I$20)+2)))+SUMPRODUCT(($D21)/(1+$M20)^Vectors!$A$3:INDIRECT(CONCATENATE("Vectors!A",$E20/12+2)))),$C20-$H20+SUMPRODUCT(((Vectors!$B$4*$K$20/100)+$L20)/(1+$M20)^Vectors!$A$3:INDIRECT(CONCATENATE("Vectors!A",MIN($I$12:$I$20)+2))))</f>
        <v>62339.384379070951</v>
      </c>
      <c r="F29" s="54" cm="1">
        <f t="array" aca="1" ref="F29" ca="1">IF($C20="",IF($D21=0,-$H20+SUMPRODUCT(((Vectors!$B$5*$K$20/100)+$L20+$F21)/(1+$M20)^Vectors!$A$3:INDIRECT(CONCATENATE("Vectors!A",MIN($I$12:$I$20)+2))), -$H20+SUMPRODUCT(((Vectors!$B$5*$K$20/100)+$L20)/(1+$M20)^Vectors!$A$3:INDIRECT(CONCATENATE("Vectors!A",MIN($I$12:$I$20)+2)))+SUMPRODUCT(($D21)/(1+$M20)^Vectors!$A$3:INDIRECT(CONCATENATE("Vectors!A",$E20/12+2)))),$C20-$H20+SUMPRODUCT(((Vectors!$B$5*$K$20/100)+$L20)/(1+$M20)^Vectors!$A$3:INDIRECT(CONCATENATE("Vectors!A",MIN($I$12:$I$20)+2))))</f>
        <v>69359.076568606426</v>
      </c>
      <c r="G29" s="54" cm="1">
        <f t="array" aca="1" ref="G29" ca="1">IF($C20="",IF($D21=0,-$H20+SUMPRODUCT(((Vectors!$B$6*$K$20/100)+$L20+$F21)/(1+$M20)^Vectors!$A$3:INDIRECT(CONCATENATE("Vectors!A",MIN($I$12:$I$20)+2))), -$H20+SUMPRODUCT(((Vectors!$B$6*$K$20/100)+$L20)/(1+$M20)^Vectors!$A$3:INDIRECT(CONCATENATE("Vectors!A",MIN($I$12:$I$20)+2)))+SUMPRODUCT(($D21)/(1+$M20)^Vectors!$A$3:INDIRECT(CONCATENATE("Vectors!A",$E20/12+2)))),$C20-$H20+SUMPRODUCT(((Vectors!$B$6*$K$20/100)+$L20)/(1+$M20)^Vectors!$A$3:INDIRECT(CONCATENATE("Vectors!A",MIN($I$12:$I$20)+2))))</f>
        <v>76378.768758141901</v>
      </c>
      <c r="H29" s="54" cm="1">
        <f t="array" aca="1" ref="H29" ca="1">IF($C20="",IF($D21=0,-$H20+SUMPRODUCT(((Vectors!$B$7*$K$20/100)+$L20+$F21)/(1+$M20)^Vectors!$A$3:INDIRECT(CONCATENATE("Vectors!A",MIN($I$12:$I$20)+2))), -$H20+SUMPRODUCT(((Vectors!$B$7*$K$20/100)+$L20)/(1+$M20)^Vectors!$A$3:INDIRECT(CONCATENATE("Vectors!A",MIN($I$12:$I$20)+2)))+SUMPRODUCT(($D21)/(1+$M20)^Vectors!$A$3:INDIRECT(CONCATENATE("Vectors!A",$E20/12+2)))),$C20-$H20+SUMPRODUCT(((Vectors!$B$7*$K$20/100)+$L20)/(1+$M20)^Vectors!$A$3:INDIRECT(CONCATENATE("Vectors!A",MIN($I$12:$I$20)+2))))</f>
        <v>83398.460947677391</v>
      </c>
      <c r="I29" s="54" cm="1">
        <f t="array" aca="1" ref="I29" ca="1">IF($C20="",IF($D21=0,-$H20+SUMPRODUCT(((Vectors!$B$8*$K$20/100)+$L20+$F21)/(1+$M20)^Vectors!$A$3:INDIRECT(CONCATENATE("Vectors!A",MIN($I$12:$I$20)+2))), -$H20+SUMPRODUCT(((Vectors!$B$8*$K$20/100)+$L20)/(1+$M20)^Vectors!$A$3:INDIRECT(CONCATENATE("Vectors!A",MIN($I$12:$I$20)+2)))+SUMPRODUCT(($D21)/(1+$M20)^Vectors!$A$3:INDIRECT(CONCATENATE("Vectors!A",$E20/12+2)))),$C20-$H20+SUMPRODUCT(((Vectors!$B$8*$K$20/100)+$L20)/(1+$M20)^Vectors!$A$3:INDIRECT(CONCATENATE("Vectors!A",MIN($I$12:$I$20)+2))))</f>
        <v>90418.153137212867</v>
      </c>
      <c r="J29" s="54" cm="1">
        <f t="array" aca="1" ref="J29" ca="1">IF($C20="",IF($D21=0,-$H20+SUMPRODUCT(((Vectors!$B$9*$K$20/100)+$L20+$F21)/(1+$M20)^Vectors!$A$3:INDIRECT(CONCATENATE("Vectors!A",MIN($I$12:$I$20)+2))), -$H20+SUMPRODUCT(((Vectors!$B$9*$K$20/100)+$L20)/(1+$M20)^Vectors!$A$3:INDIRECT(CONCATENATE("Vectors!A",MIN($I$12:$I$20)+2)))+SUMPRODUCT(($D21)/(1+$M20)^Vectors!$A$3:INDIRECT(CONCATENATE("Vectors!A",$E20/12+2)))),$C20-$H20+SUMPRODUCT(((Vectors!$B$9*$K$20/100)+$L20)/(1+$M20)^Vectors!$A$3:INDIRECT(CONCATENATE("Vectors!A",MIN($I$12:$I$20)+2))))</f>
        <v>97437.845326748356</v>
      </c>
      <c r="K29" s="54" cm="1">
        <f t="array" aca="1" ref="K29" ca="1">IF($C20="",IF($D21=0,-$H20+SUMPRODUCT(((Vectors!$B$10*$K$20/100)+$L20+$F21)/(1+$M20)^Vectors!$A$3:INDIRECT(CONCATENATE("Vectors!A",MIN($I$12:$I$20)+2))), -$H20+SUMPRODUCT(((Vectors!$B$10*$K$20/100)+$L20)/(1+$M20)^Vectors!$A$3:INDIRECT(CONCATENATE("Vectors!A",MIN($I$12:$I$20)+2)))+SUMPRODUCT(($D21)/(1+$M20)^Vectors!$A$3:INDIRECT(CONCATENATE("Vectors!A",$E20/12+2)))),$C20-$H20+SUMPRODUCT(((Vectors!$B$10*$K$20/100)+$L20)/(1+$M20)^Vectors!$A$3:INDIRECT(CONCATENATE("Vectors!A",MIN($I$12:$I$20)+2))))</f>
        <v>104457.53751628382</v>
      </c>
    </row>
    <row r="31" spans="2:21" x14ac:dyDescent="0.35">
      <c r="U31" s="64"/>
    </row>
    <row r="50" spans="2:12" x14ac:dyDescent="0.35">
      <c r="B50" s="126" t="s">
        <v>27</v>
      </c>
      <c r="C50" s="127"/>
      <c r="D50" s="127"/>
      <c r="E50" s="127"/>
      <c r="F50" s="127"/>
      <c r="G50" s="127"/>
      <c r="H50" s="127"/>
      <c r="I50" s="127"/>
      <c r="J50" s="127"/>
      <c r="K50" s="127"/>
      <c r="L50" s="128"/>
    </row>
    <row r="51" spans="2:12" x14ac:dyDescent="0.35">
      <c r="B51" s="52" t="s">
        <v>1</v>
      </c>
      <c r="C51" s="52" t="s">
        <v>31</v>
      </c>
      <c r="D51" s="52" t="s">
        <v>28</v>
      </c>
      <c r="E51" s="52" t="str">
        <f>CONCATENATE(Vectors!B3," km/any")</f>
        <v>12500 km/any</v>
      </c>
      <c r="F51" s="52" t="str">
        <f>CONCATENATE(Vectors!B4," km/any")</f>
        <v>25000 km/any</v>
      </c>
      <c r="G51" s="52" t="str">
        <f>CONCATENATE(Vectors!B5," km/any")</f>
        <v>37500 km/any</v>
      </c>
      <c r="H51" s="52" t="str">
        <f>CONCATENATE(Vectors!B6," km/any")</f>
        <v>50000 km/any</v>
      </c>
      <c r="I51" s="52" t="str">
        <f>CONCATENATE(Vectors!B7," km/any")</f>
        <v>62500 km/any</v>
      </c>
      <c r="J51" s="52" t="str">
        <f>CONCATENATE(Vectors!B8," km/any")</f>
        <v>75000 km/any</v>
      </c>
      <c r="K51" s="52" t="str">
        <f>CONCATENATE(Vectors!B9," km/any")</f>
        <v>87500 km/any</v>
      </c>
      <c r="L51" s="52" t="str">
        <f>CONCATENATE(Vectors!B10," km/any")</f>
        <v>100000 km/any</v>
      </c>
    </row>
    <row r="52" spans="2:12" x14ac:dyDescent="0.35">
      <c r="B52" s="53" t="s">
        <v>29</v>
      </c>
      <c r="C52" s="54" cm="1">
        <f t="array" aca="1" ref="C52" ca="1">IF(C12="",IF(D13=0,SUMPRODUCT(F13/(1+M12)^Vectors!$A$3:INDIRECT(CONCATENATE("Vectors!A",Urbà!I12+2))) - H12,SUMPRODUCT(D13/(1+M12)^Vectors!$A$3:INDIRECT(CONCATENATE("Vectors!A",Urbà!E12/12 +2)))-H12),C12-H12)</f>
        <v>23856.52</v>
      </c>
      <c r="D52" s="54" t="s">
        <v>30</v>
      </c>
      <c r="E52" s="54" t="s">
        <v>30</v>
      </c>
      <c r="F52" s="54" t="s">
        <v>30</v>
      </c>
      <c r="G52" s="54" t="s">
        <v>30</v>
      </c>
      <c r="H52" s="54" t="s">
        <v>30</v>
      </c>
      <c r="I52" s="54" t="s">
        <v>30</v>
      </c>
      <c r="J52" s="54" t="s">
        <v>30</v>
      </c>
      <c r="K52" s="54" t="s">
        <v>30</v>
      </c>
      <c r="L52" s="54" t="s">
        <v>30</v>
      </c>
    </row>
    <row r="53" spans="2:12" x14ac:dyDescent="0.35">
      <c r="B53" s="53" t="s">
        <v>3</v>
      </c>
      <c r="C53" s="54" cm="1">
        <f t="array" aca="1" ref="C53" ca="1">IF(C14="",IF(D15=0,-H14+SUMPRODUCT(F15/(1+M14)^Vectors!$A$3:INDIRECT(CONCATENATE("Vectors!A",Urbà!I14+2))),-H14+SUMPRODUCT(D15/(1+M14)^Vectors!$A$3:INDIRECT(CONCATENATE("Vectors!A",Urbà!E14/12 +2)))),C14-H14)</f>
        <v>61320</v>
      </c>
      <c r="D53" s="54">
        <f ca="1">IF(C53&gt;0,$C$52-C53,"-")</f>
        <v>-37463.479999999996</v>
      </c>
      <c r="E53" s="65" t="str" cm="1">
        <f t="array" aca="1" ref="E53" ca="1">IF((MATCH(TRUE,Vectors!D2:D23&gt;0,0)-1)&lt;=MIN($I$12,$I$14),(MATCH(TRUE,Vectors!D2:D23&gt;0,0)-1),"NO")</f>
        <v>NO</v>
      </c>
      <c r="F53" s="65" t="str" cm="1">
        <f t="array" aca="1" ref="F53" ca="1">IF((MATCH(TRUE,Vectors!E2:E23&gt;0,0)-1)&lt;=MIN($I$12,$I$14),(MATCH(TRUE,Vectors!E2:E23&gt;0,0)-1),"NO")</f>
        <v>NO</v>
      </c>
      <c r="G53" s="65" t="str" cm="1">
        <f t="array" aca="1" ref="G53" ca="1">IF((MATCH(TRUE,Vectors!F2:F23&gt;0,0)-1)&lt;=MIN($I$12,$I$14),(MATCH(TRUE,Vectors!F2:F23&gt;0,0)-1),"NO")</f>
        <v>NO</v>
      </c>
      <c r="H53" s="65" t="str" cm="1">
        <f t="array" aca="1" ref="H53" ca="1">IF((MATCH(TRUE,Vectors!G2:G23&gt;0,0)-1)&lt;=MIN($I$12,$I$14),(MATCH(TRUE,Vectors!G2:G23&gt;0,0)-1),"NO")</f>
        <v>NO</v>
      </c>
      <c r="I53" s="65" t="str" cm="1">
        <f t="array" aca="1" ref="I53" ca="1">IF((MATCH(TRUE,Vectors!H2:H23&gt;0,0)-1)&lt;=MIN($I$12,$I$14),(MATCH(TRUE,Vectors!H2:H23&gt;0,0)-1),"NO")</f>
        <v>NO</v>
      </c>
      <c r="J53" s="65" cm="1">
        <f t="array" aca="1" ref="J53" ca="1">IF((MATCH(TRUE,Vectors!I2:I23&gt;0,0)-1)&lt;=MIN($I$12,$I$14),(MATCH(TRUE,Vectors!I2:I23&gt;0,0)-1),"NO")</f>
        <v>8</v>
      </c>
      <c r="K53" s="65" cm="1">
        <f t="array" aca="1" ref="K53" ca="1">IF((MATCH(TRUE,Vectors!J2:J23&gt;0,0)-1)&lt;=MIN($I$12,$I$14),(MATCH(TRUE,Vectors!J2:J23&gt;0,0)-1),"NO")</f>
        <v>6</v>
      </c>
      <c r="L53" s="65" cm="1">
        <f t="array" aca="1" ref="L53" ca="1">IF((MATCH(TRUE,Vectors!K2:K23&gt;0,0)-1)&lt;=MIN($I$12,$I$14),(MATCH(TRUE,Vectors!K2:K23&gt;0,0)-1),"NO")</f>
        <v>6</v>
      </c>
    </row>
    <row r="54" spans="2:12" x14ac:dyDescent="0.35">
      <c r="B54" s="53" t="s">
        <v>4</v>
      </c>
      <c r="C54" s="54" cm="1">
        <f t="array" aca="1" ref="C54" ca="1">IF(C16="",IF(D17=0,SUMPRODUCT(F17/(1+M16)^Vectors!$A$3:INDIRECT(CONCATENATE("Vectors!A",Urbà!I16+2))) - H16, SUMPRODUCT(D17/(1+M16)^Vectors!$A$3:INDIRECT(CONCATENATE("Vectors!A",Urbà!E16/12 +2)))-H16), C16-H16)</f>
        <v>25000</v>
      </c>
      <c r="D54" s="54">
        <f ca="1">IF(C54&gt;0,$C$52-C54,"-")</f>
        <v>-1143.4799999999996</v>
      </c>
      <c r="E54" s="65" cm="1">
        <f t="array" aca="1" ref="E54" ca="1">IF((MATCH(TRUE,Vectors!L2:L23&gt;0,0)-1)&lt;=MIN($I$12,$I$16),(MATCH(TRUE,Vectors!L2:L23&gt;0,0)-1),"NO")</f>
        <v>2</v>
      </c>
      <c r="F54" s="65" cm="1">
        <f t="array" aca="1" ref="F54" ca="1">IF((MATCH(TRUE,Vectors!M2:M23&gt;0,0)-1)&lt;=MIN($I$12,$I$16),(MATCH(TRUE,Vectors!M2:M23&gt;0,0)-1),"NO")</f>
        <v>1</v>
      </c>
      <c r="G54" s="65" cm="1">
        <f t="array" aca="1" ref="G54" ca="1">IF((MATCH(TRUE,Vectors!N2:N23&gt;0,0)-1)&lt;=MIN($I$12,$I$16),(MATCH(TRUE,Vectors!N2:N23&gt;0,0)-1),"NO")</f>
        <v>1</v>
      </c>
      <c r="H54" s="65" cm="1">
        <f t="array" aca="1" ref="H54" ca="1">IF((MATCH(TRUE,Vectors!O2:O23&gt;0,0)-1)&lt;=MIN($I$12,$I$16),(MATCH(TRUE,Vectors!O2:O23&gt;0,0)-1),"NO")</f>
        <v>1</v>
      </c>
      <c r="I54" s="65" cm="1">
        <f t="array" aca="1" ref="I54" ca="1">IF((MATCH(TRUE,Vectors!P2:P23&gt;0,0)-1)&lt;=MIN($I$12,$I$16),(MATCH(TRUE,Vectors!P2:P23&gt;0,0)-1),"NO")</f>
        <v>1</v>
      </c>
      <c r="J54" s="65" cm="1">
        <f t="array" aca="1" ref="J54" ca="1">IF((MATCH(TRUE,Vectors!Q2:Q23&gt;0,0)-1)&lt;=MIN($I$12,$I$16),(MATCH(TRUE,Vectors!Q2:Q23&gt;0,0)-1),"NO")</f>
        <v>1</v>
      </c>
      <c r="K54" s="65" cm="1">
        <f t="array" aca="1" ref="K54" ca="1">IF((MATCH(TRUE,Vectors!R2:R23&gt;0,0)-1)&lt;=MIN($I$12,$I$16),(MATCH(TRUE,Vectors!R2:R23&gt;0,0)-1),"NO")</f>
        <v>1</v>
      </c>
      <c r="L54" s="65" cm="1">
        <f t="array" aca="1" ref="L54" ca="1">IF((MATCH(TRUE,Vectors!S2:S23&gt;0,0)-1)&lt;=MIN($I$12,$I$16),(MATCH(TRUE,Vectors!S2:S23&gt;0,0)-1),"NO")</f>
        <v>1</v>
      </c>
    </row>
    <row r="55" spans="2:12" x14ac:dyDescent="0.35">
      <c r="B55" s="53" t="s">
        <v>5</v>
      </c>
      <c r="C55" s="54" cm="1">
        <f t="array" aca="1" ref="C55" ca="1">IF(C18="",IF(D19=0,SUMPRODUCT(F19/(1+M18)^Vectors!$A$3:INDIRECT(CONCATENATE("Vectors!A",Urbà!I18+2))) - H18,SUMPRODUCT(D19/(1+M18)^Vectors!$A$3:INDIRECT(CONCATENATE("Vectors!A",Urbà!E18/12 +2)))-H18),C18-H18)</f>
        <v>36118</v>
      </c>
      <c r="D55" s="54">
        <f ca="1">IF(C55&gt;0,$C$52-C55,"-")</f>
        <v>-12261.48</v>
      </c>
      <c r="E55" s="65" t="str" cm="1">
        <f t="array" aca="1" ref="E55" ca="1">IF((MATCH(TRUE,Vectors!T3:T24&gt;0,0)-1)&lt;=MIN($I$12,$I$18),(MATCH(TRUE,Vectors!T3:T24&gt;0,0)-1),"NO")</f>
        <v>NO</v>
      </c>
      <c r="F55" s="65" t="str" cm="1">
        <f t="array" aca="1" ref="F55" ca="1">IF((MATCH(TRUE,Vectors!U3:U24&gt;0,0)-1)&lt;=MIN($I$12,$I$18),(MATCH(TRUE,Vectors!U3:U24&gt;0,0)-1),"NO")</f>
        <v>NO</v>
      </c>
      <c r="G55" s="65" t="str" cm="1">
        <f t="array" aca="1" ref="G55" ca="1">IF((MATCH(TRUE,Vectors!V3:V24&gt;0,0)-1)&lt;=MIN($I$12,$I$18),(MATCH(TRUE,Vectors!V3:V24&gt;0,0)-1),"NO")</f>
        <v>NO</v>
      </c>
      <c r="H55" s="65" t="str" cm="1">
        <f t="array" aca="1" ref="H55" ca="1">IF((MATCH(TRUE,Vectors!W3:W24&gt;0,0)-1)&lt;=MIN($I$12,$I$18),(MATCH(TRUE,Vectors!W3:W24&gt;0,0)-1),"NO")</f>
        <v>NO</v>
      </c>
      <c r="I55" s="65" t="str" cm="1">
        <f t="array" aca="1" ref="I55" ca="1">IF((MATCH(TRUE,Vectors!X3:X24&gt;0,0)-1)&lt;=MIN($I$12,$I$18),(MATCH(TRUE,Vectors!X3:X24&gt;0,0)-1),"NO")</f>
        <v>NO</v>
      </c>
      <c r="J55" s="65" t="str" cm="1">
        <f t="array" aca="1" ref="J55" ca="1">IF((MATCH(TRUE,Vectors!Y3:Y24&gt;0,0)-1)&lt;=MIN($I$12,$I$18),(MATCH(TRUE,Vectors!Y3:Y24&gt;0,0)-1),"NO")</f>
        <v>NO</v>
      </c>
      <c r="K55" s="65" t="str" cm="1">
        <f t="array" aca="1" ref="K55" ca="1">IF((MATCH(TRUE,Vectors!Z3:Z24&gt;0,0)-1)&lt;=MIN($I$12,$I$18),(MATCH(TRUE,Vectors!Z3:Z24&gt;0,0)-1),"NO")</f>
        <v>NO</v>
      </c>
      <c r="L55" s="65" t="str" cm="1">
        <f t="array" aca="1" ref="L55" ca="1">IF((MATCH(TRUE,Vectors!AA3:AA24&gt;0,0)-1)&lt;=MIN($I$12,$I$18),(MATCH(TRUE,Vectors!AA3:AA24&gt;0,0)-1),"NO")</f>
        <v>NO</v>
      </c>
    </row>
    <row r="56" spans="2:12" x14ac:dyDescent="0.35">
      <c r="B56" s="53" t="s">
        <v>6</v>
      </c>
      <c r="C56" s="54" cm="1">
        <f t="array" aca="1" ref="C56" ca="1">IF(C20="",IF(D21=0,SUMPRODUCT(F21/(1+M20)^Vectors!$A$3:INDIRECT(CONCATENATE("Vectors!A",Urbà!I20+2))) - H20,SUMPRODUCT(D21/(1+M20)^Vectors!$A$3:INDIRECT(CONCATENATE("Vectors!A",Urbà!E20/12 +2)))-H20),C20-H20)</f>
        <v>48300</v>
      </c>
      <c r="D56" s="54">
        <f ca="1">IF(C56&gt;0,$C$52-C56,"-")</f>
        <v>-24443.48</v>
      </c>
      <c r="E56" s="65" t="str" cm="1">
        <f t="array" aca="1" ref="E56" ca="1">IF((MATCH(TRUE,Vectors!AB4:AB25&gt;0,0)-1)&lt;=MIN($I$12,$I$20),(MATCH(TRUE,Vectors!AB4:AB25&gt;0,0)-1),"NO")</f>
        <v>NO</v>
      </c>
      <c r="F56" s="65" t="str" cm="1">
        <f t="array" aca="1" ref="F56" ca="1">IF((MATCH(TRUE,Vectors!AC4:AC25&gt;0,0)-1)&lt;=MIN($I$12,$I$20),(MATCH(TRUE,Vectors!AC4:AC25&gt;0,0)-1),"NO")</f>
        <v>NO</v>
      </c>
      <c r="G56" s="65" t="str" cm="1">
        <f t="array" aca="1" ref="G56" ca="1">IF((MATCH(TRUE,Vectors!AD4:AD25&gt;0,0)-1)&lt;=MIN($I$12,$I$20),(MATCH(TRUE,Vectors!AD4:AD25&gt;0,0)-1),"NO")</f>
        <v>NO</v>
      </c>
      <c r="H56" s="65" t="str" cm="1">
        <f t="array" aca="1" ref="H56" ca="1">IF((MATCH(TRUE,Vectors!AE4:AE25&gt;0,0)-1)&lt;=MIN($I$12,$I$20),(MATCH(TRUE,Vectors!AE4:AE25&gt;0,0)-1),"NO")</f>
        <v>NO</v>
      </c>
      <c r="I56" s="65" t="str" cm="1">
        <f t="array" aca="1" ref="I56" ca="1">IF((MATCH(TRUE,Vectors!AF4:AF25&gt;0,0)-1)&lt;=MIN($I$12,$I$20),(MATCH(TRUE,Vectors!AF4:AF25&gt;0,0)-1),"NO")</f>
        <v>NO</v>
      </c>
      <c r="J56" s="65" t="str" cm="1">
        <f t="array" aca="1" ref="J56" ca="1">IF((MATCH(TRUE,Vectors!AG4:AG25&gt;0,0)-1)&lt;=MIN($I$12,$I$20),(MATCH(TRUE,Vectors!AG4:AG25&gt;0,0)-1),"NO")</f>
        <v>NO</v>
      </c>
      <c r="K56" s="65" t="str" cm="1">
        <f t="array" aca="1" ref="K56" ca="1">IF((MATCH(TRUE,Vectors!AH4:AH25&gt;0,0)-1)&lt;=MIN($I$12,$I$20),(MATCH(TRUE,Vectors!AH4:AH25&gt;0,0)-1),"NO")</f>
        <v>NO</v>
      </c>
      <c r="L56" s="65" t="str" cm="1">
        <f t="array" aca="1" ref="L56" ca="1">IF((MATCH(TRUE,Vectors!AI4:AI25&gt;0,0)-1)&lt;=MIN($I$12,$I$20),(MATCH(TRUE,Vectors!AI4:AI25&gt;0,0)-1),"NO")</f>
        <v>NO</v>
      </c>
    </row>
  </sheetData>
  <sheetProtection algorithmName="SHA-512" hashValue="A8CrGH4rjn4RPPnmXDBYf85gMffGjuwROxAggbne0z1rLDj4Al2dacImbn7a53+SDxh31B8II9y7g8A+ngnKdQ==" saltValue="+utbS85W9Iq94Qi+IcbXrA==" spinCount="100000" sheet="1" objects="1" scenarios="1"/>
  <mergeCells count="70">
    <mergeCell ref="L18:L19"/>
    <mergeCell ref="L20:L21"/>
    <mergeCell ref="M18:M19"/>
    <mergeCell ref="M20:M21"/>
    <mergeCell ref="N12:N13"/>
    <mergeCell ref="N14:N15"/>
    <mergeCell ref="N16:N17"/>
    <mergeCell ref="N18:N19"/>
    <mergeCell ref="N20:N21"/>
    <mergeCell ref="J16:J17"/>
    <mergeCell ref="J18:J19"/>
    <mergeCell ref="J20:J21"/>
    <mergeCell ref="K18:K19"/>
    <mergeCell ref="K20:K21"/>
    <mergeCell ref="I10:I11"/>
    <mergeCell ref="J10:J11"/>
    <mergeCell ref="K10:K11"/>
    <mergeCell ref="B23:K23"/>
    <mergeCell ref="H12:H13"/>
    <mergeCell ref="H14:H15"/>
    <mergeCell ref="H16:H17"/>
    <mergeCell ref="H18:H19"/>
    <mergeCell ref="H20:H21"/>
    <mergeCell ref="I12:I13"/>
    <mergeCell ref="I14:I15"/>
    <mergeCell ref="I16:I17"/>
    <mergeCell ref="I18:I19"/>
    <mergeCell ref="I20:I21"/>
    <mergeCell ref="J12:J13"/>
    <mergeCell ref="J14:J15"/>
    <mergeCell ref="K14:K15"/>
    <mergeCell ref="K16:K17"/>
    <mergeCell ref="M12:M13"/>
    <mergeCell ref="M14:M15"/>
    <mergeCell ref="M16:M17"/>
    <mergeCell ref="L12:L13"/>
    <mergeCell ref="L14:L15"/>
    <mergeCell ref="L16:L17"/>
    <mergeCell ref="B50:L50"/>
    <mergeCell ref="L10:L11"/>
    <mergeCell ref="M10:M11"/>
    <mergeCell ref="B20:B21"/>
    <mergeCell ref="C20:C21"/>
    <mergeCell ref="B10:B11"/>
    <mergeCell ref="C10:C11"/>
    <mergeCell ref="H10:H11"/>
    <mergeCell ref="E18:E19"/>
    <mergeCell ref="E20:E21"/>
    <mergeCell ref="G18:G19"/>
    <mergeCell ref="G20:G21"/>
    <mergeCell ref="C14:C15"/>
    <mergeCell ref="C16:C17"/>
    <mergeCell ref="C12:C13"/>
    <mergeCell ref="B14:B15"/>
    <mergeCell ref="B18:B19"/>
    <mergeCell ref="C18:C19"/>
    <mergeCell ref="B9:N9"/>
    <mergeCell ref="B1:Q3"/>
    <mergeCell ref="D10:E10"/>
    <mergeCell ref="F10:G10"/>
    <mergeCell ref="B12:B13"/>
    <mergeCell ref="B16:B17"/>
    <mergeCell ref="N10:N11"/>
    <mergeCell ref="E12:E13"/>
    <mergeCell ref="E14:E15"/>
    <mergeCell ref="E16:E17"/>
    <mergeCell ref="G12:G13"/>
    <mergeCell ref="G14:G15"/>
    <mergeCell ref="G16:G17"/>
    <mergeCell ref="K12:K13"/>
  </mergeCells>
  <conditionalFormatting sqref="D52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2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E56 F53:L56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">
    <cfRule type="colorScale" priority="1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2">
    <cfRule type="colorScale" priority="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">
    <cfRule type="colorScale" priority="1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:L52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K52">
    <cfRule type="colorScale" priority="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:K29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C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D2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E2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:F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:G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:H2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5:I2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5:J2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K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8" tint="0.39997558519241921"/>
  </sheetPr>
  <dimension ref="A1:T56"/>
  <sheetViews>
    <sheetView showGridLines="0" zoomScale="70" zoomScaleNormal="70" workbookViewId="0">
      <selection activeCell="J12" sqref="J12:J13"/>
    </sheetView>
  </sheetViews>
  <sheetFormatPr baseColWidth="10" defaultRowHeight="14.5" x14ac:dyDescent="0.35"/>
  <cols>
    <col min="1" max="1" width="10.90625" style="25"/>
    <col min="2" max="2" width="26.453125" style="25" bestFit="1" customWidth="1"/>
    <col min="3" max="3" width="15.81640625" style="25" bestFit="1" customWidth="1"/>
    <col min="4" max="4" width="27" style="25" bestFit="1" customWidth="1"/>
    <col min="5" max="5" width="14.36328125" style="25" bestFit="1" customWidth="1"/>
    <col min="6" max="6" width="20.81640625" style="25" bestFit="1" customWidth="1"/>
    <col min="7" max="7" width="19.1796875" style="25" bestFit="1" customWidth="1"/>
    <col min="8" max="8" width="14.453125" style="25" bestFit="1" customWidth="1"/>
    <col min="9" max="9" width="15.453125" style="25" bestFit="1" customWidth="1"/>
    <col min="10" max="10" width="17.1796875" style="25" bestFit="1" customWidth="1"/>
    <col min="11" max="12" width="15.36328125" style="25" bestFit="1" customWidth="1"/>
    <col min="13" max="13" width="14.7265625" style="25" bestFit="1" customWidth="1"/>
    <col min="14" max="14" width="23.6328125" style="25" bestFit="1" customWidth="1"/>
    <col min="15" max="20" width="13.1796875" bestFit="1" customWidth="1"/>
    <col min="21" max="22" width="14.1796875" bestFit="1" customWidth="1"/>
  </cols>
  <sheetData>
    <row r="1" spans="1:20" s="14" customFormat="1" ht="14.5" customHeight="1" x14ac:dyDescent="0.35">
      <c r="A1" s="24"/>
      <c r="B1" s="143" t="s">
        <v>57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5"/>
      <c r="O1" s="13"/>
      <c r="P1" s="13"/>
      <c r="Q1" s="13"/>
      <c r="R1" s="13"/>
      <c r="S1" s="13"/>
      <c r="T1" s="13"/>
    </row>
    <row r="2" spans="1:20" s="14" customFormat="1" ht="14.5" customHeight="1" x14ac:dyDescent="0.35">
      <c r="A2" s="24"/>
      <c r="B2" s="146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8"/>
      <c r="O2" s="13"/>
      <c r="P2" s="13"/>
      <c r="Q2" s="13"/>
      <c r="R2" s="13"/>
      <c r="S2" s="13"/>
      <c r="T2" s="13"/>
    </row>
    <row r="3" spans="1:20" s="14" customFormat="1" ht="33.5" customHeight="1" thickBot="1" x14ac:dyDescent="0.4">
      <c r="A3" s="24"/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1"/>
      <c r="O3" s="13"/>
      <c r="P3" s="13"/>
      <c r="Q3" s="13"/>
      <c r="R3" s="13"/>
      <c r="S3" s="13"/>
      <c r="T3" s="13"/>
    </row>
    <row r="4" spans="1:20" x14ac:dyDescent="0.35">
      <c r="L4" s="26"/>
      <c r="M4" s="26"/>
      <c r="O4" s="12"/>
      <c r="P4" s="12"/>
      <c r="Q4" s="12"/>
      <c r="R4" s="12"/>
      <c r="S4" s="12"/>
      <c r="T4" s="12"/>
    </row>
    <row r="5" spans="1:20" ht="15" thickBot="1" x14ac:dyDescent="0.4">
      <c r="L5" s="26"/>
      <c r="M5" s="26"/>
      <c r="O5" s="12"/>
      <c r="P5" s="12"/>
      <c r="Q5" s="12"/>
      <c r="R5" s="12"/>
      <c r="S5" s="12"/>
      <c r="T5" s="12"/>
    </row>
    <row r="6" spans="1:20" ht="15" thickBot="1" x14ac:dyDescent="0.4">
      <c r="B6" s="33" t="s">
        <v>49</v>
      </c>
      <c r="C6" s="31"/>
      <c r="D6" s="31"/>
      <c r="E6" s="32"/>
      <c r="F6" s="32"/>
      <c r="G6" s="31"/>
      <c r="L6" s="26"/>
      <c r="M6" s="26"/>
      <c r="O6" s="12"/>
      <c r="P6" s="12"/>
      <c r="Q6" s="12"/>
      <c r="R6" s="12"/>
      <c r="S6" s="12"/>
      <c r="T6" s="12"/>
    </row>
    <row r="7" spans="1:20" x14ac:dyDescent="0.35">
      <c r="L7" s="26"/>
      <c r="M7" s="26"/>
      <c r="O7" s="12"/>
      <c r="P7" s="12"/>
      <c r="Q7" s="12"/>
      <c r="R7" s="12"/>
      <c r="S7" s="12"/>
      <c r="T7" s="12"/>
    </row>
    <row r="8" spans="1:20" x14ac:dyDescent="0.35">
      <c r="M8" s="26"/>
      <c r="N8" s="26"/>
      <c r="O8" s="12"/>
      <c r="P8" s="12"/>
      <c r="Q8" s="12"/>
      <c r="R8" s="12"/>
      <c r="S8" s="12"/>
      <c r="T8" s="12"/>
    </row>
    <row r="9" spans="1:20" x14ac:dyDescent="0.35">
      <c r="B9" s="152" t="s">
        <v>36</v>
      </c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</row>
    <row r="10" spans="1:20" ht="33" customHeight="1" x14ac:dyDescent="0.35">
      <c r="B10" s="153" t="s">
        <v>1</v>
      </c>
      <c r="C10" s="153" t="s">
        <v>0</v>
      </c>
      <c r="D10" s="155" t="s">
        <v>52</v>
      </c>
      <c r="E10" s="156"/>
      <c r="F10" s="155" t="s">
        <v>53</v>
      </c>
      <c r="G10" s="156"/>
      <c r="H10" s="153" t="s">
        <v>7</v>
      </c>
      <c r="I10" s="157" t="s">
        <v>11</v>
      </c>
      <c r="J10" s="153" t="s">
        <v>9</v>
      </c>
      <c r="K10" s="157" t="s">
        <v>15</v>
      </c>
      <c r="L10" s="157" t="s">
        <v>25</v>
      </c>
      <c r="M10" s="157" t="s">
        <v>10</v>
      </c>
      <c r="N10" s="153" t="s">
        <v>8</v>
      </c>
    </row>
    <row r="11" spans="1:20" x14ac:dyDescent="0.35">
      <c r="B11" s="154"/>
      <c r="C11" s="154"/>
      <c r="D11" s="15" t="s">
        <v>56</v>
      </c>
      <c r="E11" s="15" t="s">
        <v>54</v>
      </c>
      <c r="F11" s="15" t="s">
        <v>56</v>
      </c>
      <c r="G11" s="15" t="s">
        <v>55</v>
      </c>
      <c r="H11" s="154"/>
      <c r="I11" s="158"/>
      <c r="J11" s="154"/>
      <c r="K11" s="158"/>
      <c r="L11" s="158"/>
      <c r="M11" s="158"/>
      <c r="N11" s="154"/>
    </row>
    <row r="12" spans="1:20" x14ac:dyDescent="0.35">
      <c r="B12" s="153" t="s">
        <v>2</v>
      </c>
      <c r="C12" s="162">
        <v>95577</v>
      </c>
      <c r="D12" s="34"/>
      <c r="E12" s="164"/>
      <c r="F12" s="34"/>
      <c r="G12" s="166">
        <f>I12*12</f>
        <v>108</v>
      </c>
      <c r="H12" s="162"/>
      <c r="I12" s="170">
        <v>9</v>
      </c>
      <c r="J12" s="170">
        <v>120000</v>
      </c>
      <c r="K12" s="172">
        <v>29.8</v>
      </c>
      <c r="L12" s="172"/>
      <c r="M12" s="159">
        <v>0.03</v>
      </c>
      <c r="N12" s="168" cm="1">
        <f t="array" aca="1" ref="N12" ca="1">IF(C12="",IF(D13=0,-H12+SUMPRODUCT((((J12/100)*K12)+L12+F13)/(1+M12)^Vectors!$A$3:INDIRECT(CONCATENATE("Vectors!A",Interurbà!I12+2))),-H12+SUMPRODUCT((J12/100)*K12/(1+M12)^Vectors!$A$3:INDIRECT(CONCATENATE("Vectors!A",Interurbà!I12+2)))+SUMPRODUCT(D13/(1+M12)^Vectors!$A$3:INDIRECT(CONCATENATE("Vectors!A",(Interurbà!E12)/12+2)))),C12-H12+SUMPRODUCT((J12/100)*K12/(1+M12)^Vectors!$A$3:INDIRECT(CONCATENATE("Vectors!A",Interurbà!I12+2))))</f>
        <v>374008.25504639681</v>
      </c>
    </row>
    <row r="13" spans="1:20" x14ac:dyDescent="0.35">
      <c r="B13" s="161"/>
      <c r="C13" s="163"/>
      <c r="D13" s="35">
        <f>D12*12</f>
        <v>0</v>
      </c>
      <c r="E13" s="165"/>
      <c r="F13" s="35">
        <f t="shared" ref="F13" si="0">F12*12</f>
        <v>0</v>
      </c>
      <c r="G13" s="167"/>
      <c r="H13" s="163"/>
      <c r="I13" s="171"/>
      <c r="J13" s="171"/>
      <c r="K13" s="173"/>
      <c r="L13" s="173"/>
      <c r="M13" s="160"/>
      <c r="N13" s="169"/>
    </row>
    <row r="14" spans="1:20" x14ac:dyDescent="0.35">
      <c r="B14" s="153" t="s">
        <v>3</v>
      </c>
      <c r="C14" s="162"/>
      <c r="D14" s="34"/>
      <c r="E14" s="164"/>
      <c r="F14" s="34"/>
      <c r="G14" s="166">
        <f t="shared" ref="G14" si="1">I14*12</f>
        <v>0</v>
      </c>
      <c r="H14" s="162"/>
      <c r="I14" s="170"/>
      <c r="J14" s="170"/>
      <c r="K14" s="172"/>
      <c r="L14" s="172"/>
      <c r="M14" s="159">
        <v>0.03</v>
      </c>
      <c r="N14" s="168" cm="1">
        <f t="array" aca="1" ref="N14" ca="1">IF(C14="",IF(D15=0,-H14+SUMPRODUCT((((J14/100)*K14)+L14+F15)/(1+M14)^Vectors!$A$3:INDIRECT(CONCATENATE("Vectors!A",Interurbà!I14+2))),-H14+SUMPRODUCT((J14/100)*K14/(1+M14)^Vectors!$A$3:INDIRECT(CONCATENATE("Vectors!A",Interurbà!I14+2)))+SUMPRODUCT(D15/(1+M14)^Vectors!$A$3:INDIRECT(CONCATENATE("Vectors!A",(Interurbà!E14)/12+2)))),C14-H14+SUMPRODUCT((J14/100)*K14/(1+M14)^Vectors!$A$3:INDIRECT(CONCATENATE("Vectors!A",Interurbà!I14+2))))</f>
        <v>0</v>
      </c>
    </row>
    <row r="15" spans="1:20" x14ac:dyDescent="0.35">
      <c r="B15" s="161"/>
      <c r="C15" s="163"/>
      <c r="D15" s="36">
        <f>D14*12</f>
        <v>0</v>
      </c>
      <c r="E15" s="165"/>
      <c r="F15" s="36">
        <f t="shared" ref="F15" si="2">F14*12</f>
        <v>0</v>
      </c>
      <c r="G15" s="167"/>
      <c r="H15" s="163"/>
      <c r="I15" s="171"/>
      <c r="J15" s="171"/>
      <c r="K15" s="173"/>
      <c r="L15" s="173"/>
      <c r="M15" s="160"/>
      <c r="N15" s="169"/>
    </row>
    <row r="16" spans="1:20" x14ac:dyDescent="0.35">
      <c r="B16" s="153" t="s">
        <v>4</v>
      </c>
      <c r="C16" s="162">
        <v>160000</v>
      </c>
      <c r="D16" s="34"/>
      <c r="E16" s="164"/>
      <c r="F16" s="34"/>
      <c r="G16" s="166">
        <f t="shared" ref="G16" si="3">I16*12</f>
        <v>108</v>
      </c>
      <c r="H16" s="162"/>
      <c r="I16" s="170">
        <v>9</v>
      </c>
      <c r="J16" s="170">
        <v>120000</v>
      </c>
      <c r="K16" s="172">
        <v>14.95</v>
      </c>
      <c r="L16" s="172"/>
      <c r="M16" s="159">
        <v>0.03</v>
      </c>
      <c r="N16" s="168" cm="1">
        <f t="array" aca="1" ref="N16" ca="1">IF(C16="",IF(D17=0,-H16+SUMPRODUCT((((J16/100)*K16)+L16+F17)/(1+M16)^Vectors!$A$3:INDIRECT(CONCATENATE("Vectors!A",Interurbà!I16+2))),-H16+SUMPRODUCT((J16/100)*K16/(1+M16)^Vectors!$A$3:INDIRECT(CONCATENATE("Vectors!A",Interurbà!I16+2)))+SUMPRODUCT(D17/(1+M16)^Vectors!$A$3:INDIRECT(CONCATENATE("Vectors!A",(Interurbà!E16)/12+2)))),C16-H16+SUMPRODUCT((J16/100)*K16/(1+M16)^Vectors!$A$3:INDIRECT(CONCATENATE("Vectors!A",Interurbà!I16+2))))</f>
        <v>299682.79405851115</v>
      </c>
    </row>
    <row r="17" spans="2:14" x14ac:dyDescent="0.35">
      <c r="B17" s="161"/>
      <c r="C17" s="163"/>
      <c r="D17" s="36">
        <f>D16*12</f>
        <v>0</v>
      </c>
      <c r="E17" s="165"/>
      <c r="F17" s="36">
        <f t="shared" ref="F17" si="4">F16*12</f>
        <v>0</v>
      </c>
      <c r="G17" s="167"/>
      <c r="H17" s="163"/>
      <c r="I17" s="171"/>
      <c r="J17" s="171"/>
      <c r="K17" s="173"/>
      <c r="L17" s="173"/>
      <c r="M17" s="160"/>
      <c r="N17" s="169"/>
    </row>
    <row r="18" spans="2:14" x14ac:dyDescent="0.35">
      <c r="B18" s="153" t="s">
        <v>5</v>
      </c>
      <c r="C18" s="162"/>
      <c r="D18" s="34"/>
      <c r="E18" s="164"/>
      <c r="F18" s="34"/>
      <c r="G18" s="166">
        <f t="shared" ref="G18" si="5">I18*12</f>
        <v>0</v>
      </c>
      <c r="H18" s="162"/>
      <c r="I18" s="170"/>
      <c r="J18" s="170"/>
      <c r="K18" s="172"/>
      <c r="L18" s="172"/>
      <c r="M18" s="159">
        <v>0.03</v>
      </c>
      <c r="N18" s="168" cm="1">
        <f t="array" aca="1" ref="N18" ca="1">IF(C18="",IF(D19=0,-H18+SUMPRODUCT((((J18/100)*K18)+L18+F19)/(1+M18)^Vectors!$A$3:INDIRECT(CONCATENATE("Vectors!A",Interurbà!I18+2))),-H18+SUMPRODUCT((J18/100)*K18/(1+M18)^Vectors!$A$3:INDIRECT(CONCATENATE("Vectors!A",Interurbà!I18+2)))+SUMPRODUCT(D19/(1+M18)^Vectors!$A$3:INDIRECT(CONCATENATE("Vectors!A",(Interurbà!E18)/12+2)))),C18-H18+SUMPRODUCT((J18/100)*K18/(1+M18)^Vectors!$A$3:INDIRECT(CONCATENATE("Vectors!A",Interurbà!I18+2))))</f>
        <v>0</v>
      </c>
    </row>
    <row r="19" spans="2:14" x14ac:dyDescent="0.35">
      <c r="B19" s="161"/>
      <c r="C19" s="163"/>
      <c r="D19" s="36">
        <f>D18*12</f>
        <v>0</v>
      </c>
      <c r="E19" s="165"/>
      <c r="F19" s="36">
        <f t="shared" ref="F19" si="6">F18*12</f>
        <v>0</v>
      </c>
      <c r="G19" s="167"/>
      <c r="H19" s="163"/>
      <c r="I19" s="171"/>
      <c r="J19" s="171"/>
      <c r="K19" s="173"/>
      <c r="L19" s="173"/>
      <c r="M19" s="160"/>
      <c r="N19" s="169"/>
    </row>
    <row r="20" spans="2:14" x14ac:dyDescent="0.35">
      <c r="B20" s="174" t="s">
        <v>6</v>
      </c>
      <c r="C20" s="175">
        <v>200000</v>
      </c>
      <c r="D20" s="34"/>
      <c r="E20" s="176"/>
      <c r="F20" s="34"/>
      <c r="G20" s="166">
        <f t="shared" ref="G20" si="7">I20*12</f>
        <v>108</v>
      </c>
      <c r="H20" s="162"/>
      <c r="I20" s="170">
        <v>9</v>
      </c>
      <c r="J20" s="170">
        <v>120000</v>
      </c>
      <c r="K20" s="172">
        <v>26.67</v>
      </c>
      <c r="L20" s="172"/>
      <c r="M20" s="159">
        <v>0.03</v>
      </c>
      <c r="N20" s="168" cm="1">
        <f t="array" aca="1" ref="N20" ca="1">IF(C20="",IF(D21=0,-H20+SUMPRODUCT((((J20/100)*K20)+L20+F21)/(1+M20)^Vectors!$A$3:INDIRECT(CONCATENATE("Vectors!A",Interurbà!I20+2))),-H20+SUMPRODUCT((J20/100)*K20/(1+M20)^Vectors!$A$3:INDIRECT(CONCATENATE("Vectors!A",Interurbà!I20+2)))+SUMPRODUCT(D21/(1+M20)^Vectors!$A$3:INDIRECT(CONCATENATE("Vectors!A",(Interurbà!E20)/12+2)))),C20-H20+SUMPRODUCT((J20/100)*K20/(1+M20)^Vectors!$A$3:INDIRECT(CONCATENATE("Vectors!A",Interurbà!I20+2))))</f>
        <v>449186.6299358189</v>
      </c>
    </row>
    <row r="21" spans="2:14" x14ac:dyDescent="0.35">
      <c r="B21" s="174"/>
      <c r="C21" s="175"/>
      <c r="D21" s="36">
        <f>12*D20</f>
        <v>0</v>
      </c>
      <c r="E21" s="176"/>
      <c r="F21" s="36">
        <f t="shared" ref="F21" si="8">12*F20</f>
        <v>0</v>
      </c>
      <c r="G21" s="167"/>
      <c r="H21" s="163"/>
      <c r="I21" s="171"/>
      <c r="J21" s="171"/>
      <c r="K21" s="173"/>
      <c r="L21" s="173"/>
      <c r="M21" s="160"/>
      <c r="N21" s="169"/>
    </row>
    <row r="23" spans="2:14" x14ac:dyDescent="0.35">
      <c r="B23" s="152" t="s">
        <v>26</v>
      </c>
      <c r="C23" s="152"/>
      <c r="D23" s="152"/>
      <c r="E23" s="152"/>
      <c r="F23" s="152"/>
      <c r="G23" s="152"/>
      <c r="H23" s="152"/>
      <c r="I23" s="152"/>
      <c r="J23" s="152"/>
      <c r="K23" s="152"/>
    </row>
    <row r="24" spans="2:14" x14ac:dyDescent="0.35">
      <c r="B24" s="15" t="s">
        <v>1</v>
      </c>
      <c r="C24" s="15" t="str">
        <f>CONCATENATE(Vectors!B2," km/any")</f>
        <v>0 km/any</v>
      </c>
      <c r="D24" s="15" t="str">
        <f>CONCATENATE(Vectors!B3," km/any")</f>
        <v>12500 km/any</v>
      </c>
      <c r="E24" s="15" t="str">
        <f>CONCATENATE(Vectors!B4," km/any")</f>
        <v>25000 km/any</v>
      </c>
      <c r="F24" s="15" t="str">
        <f>CONCATENATE(Vectors!B5," km/any")</f>
        <v>37500 km/any</v>
      </c>
      <c r="G24" s="15" t="str">
        <f>CONCATENATE(Vectors!B6," km/any")</f>
        <v>50000 km/any</v>
      </c>
      <c r="H24" s="15" t="str">
        <f>CONCATENATE(Vectors!B7," km/any")</f>
        <v>62500 km/any</v>
      </c>
      <c r="I24" s="15" t="str">
        <f>CONCATENATE(Vectors!B8," km/any")</f>
        <v>75000 km/any</v>
      </c>
      <c r="J24" s="15" t="str">
        <f>CONCATENATE(Vectors!B9," km/any")</f>
        <v>87500 km/any</v>
      </c>
      <c r="K24" s="15" t="str">
        <f>CONCATENATE(Vectors!B10," km/any")</f>
        <v>100000 km/any</v>
      </c>
    </row>
    <row r="25" spans="2:14" x14ac:dyDescent="0.35">
      <c r="B25" s="27" t="s">
        <v>2</v>
      </c>
      <c r="C25" s="29" cm="1">
        <f t="array" aca="1" ref="C25" ca="1">IF(IF($C12="",IF($D13=0,-$H12+SUMPRODUCT(((Vectors!$C$2*$K$12/100)+$L12+$F13)/(1+$M12)^Vectors!$A$3:INDIRECT(CONCATENATE("Vectors!A",MIN($I$12:$I$20)+2))), -$H12+SUMPRODUCT(((Vectors!$C$2*$K$12/100)+$L12)/(1+$M12)^Vectors!$A$3:INDIRECT(CONCATENATE("Vectors!A",MIN($I$12:$I$20)+2)))+SUMPRODUCT(($D13)/(1+$M12)^Vectors!$A$3:INDIRECT(CONCATENATE("Vectors!A",$E12/12+2)))),$C12-$H12+SUMPRODUCT(((Vectors!$C$2*$K$12/100)+$L12)/(1+$M12)^Vectors!$A$3:INDIRECT(CONCATENATE("Vectors!A",MIN($I$12:$I$20)+2))))=0,"-",IF($C12="",IF($D13=0,-$H12+SUMPRODUCT(((Vectors!$C$2*$K$12/100)+$L12+$F13)/(1+$M12)^Vectors!$A$3:INDIRECT(CONCATENATE("Vectors!A",MIN($I$12:$I$20)+2))), -$H12+SUMPRODUCT(((Vectors!$C$2*$K$12/100)+$L12)/(1+$M12)^Vectors!$A$3:INDIRECT(CONCATENATE("Vectors!A",MIN($I$12:$I$20)+2)))+SUMPRODUCT(($D13)/(1+$M12)^Vectors!$A$3:INDIRECT(CONCATENATE("Vectors!A",$E12/12+2)))),$C12-$H12+SUMPRODUCT(((Vectors!$C$2*$K$12/100)+$L12)/(1+$M12)^Vectors!$A$3:INDIRECT(CONCATENATE("Vectors!A",MIN($I$12:$I$20)+2)))))</f>
        <v>95577</v>
      </c>
      <c r="D25" s="29" cm="1">
        <f t="array" aca="1" ref="D25" ca="1">IF(IF($C12="",IF($D13=0,-$H12+SUMPRODUCT(((Vectors!$C$3*$K$12/100)+$L12+$F13)/(1+$M12)^Vectors!$A$3:INDIRECT(CONCATENATE("Vectors!A",MIN($I$12:$I$20)+2))), -$H12+SUMPRODUCT(((Vectors!$C$3*$K$12/100)+$L12)/(1+$M12)^Vectors!$A$3:INDIRECT(CONCATENATE("Vectors!A",MIN($I$12:$I$20)+2)))+SUMPRODUCT(($D13)/(1+$M12)^Vectors!$A$3:INDIRECT(CONCATENATE("Vectors!A",$E12/12+2)))),$C12-$H12+SUMPRODUCT(((Vectors!$C$3*$K$12/100)+$L12)/(1+$M12)^Vectors!$A$3:INDIRECT(CONCATENATE("Vectors!A",MIN($I$12:$I$20)+2))))=0,"-",IF($C12="",IF($D13=0,-$H12+SUMPRODUCT(((Vectors!$C$3*$K$12/100)+$L12+$F13)/(1+$M12)^Vectors!$A$3:INDIRECT(CONCATENATE("Vectors!A",MIN($I$12:$I$20)+2))), -$H12+SUMPRODUCT(((Vectors!$C$3*$K$12/100)+$L12)/(1+$M12)^Vectors!$A$3:INDIRECT(CONCATENATE("Vectors!A",MIN($I$12:$I$20)+2)))+SUMPRODUCT(($D13)/(1+$M12)^Vectors!$A$3:INDIRECT(CONCATENATE("Vectors!A",$E12/12+2)))),$C12-$H12+SUMPRODUCT(((Vectors!$C$3*$K$12/100)+$L12)/(1+$M12)^Vectors!$A$3:INDIRECT(CONCATENATE("Vectors!A",MIN($I$12:$I$20)+2)))))</f>
        <v>165184.81376159919</v>
      </c>
      <c r="E25" s="29" cm="1">
        <f t="array" aca="1" ref="E25" ca="1">IF(IF($C12="",IF($D13=0,-$H12+SUMPRODUCT(((Vectors!$C$4*$K$12/100)+$L12+$F13)/(1+$M12)^Vectors!$A$3:INDIRECT(CONCATENATE("Vectors!A",MIN($I$12:$I$20)+2))), -$H12+SUMPRODUCT(((Vectors!$C$4*$K$12/100)+$L12)/(1+$M12)^Vectors!$A$3:INDIRECT(CONCATENATE("Vectors!A",MIN($I$12:$I$20)+2)))+SUMPRODUCT(($D13)/(1+$M12)^Vectors!$A$3:INDIRECT(CONCATENATE("Vectors!A",$E12/12+2)))),$C12-$H12+SUMPRODUCT(((Vectors!$C$4*$K$12/100)+$L12)/(1+$M12)^Vectors!$A$3:INDIRECT(CONCATENATE("Vectors!A",MIN($I$12:$I$20)+2))))=0,"-",IF($C12="",IF($D13=0,-$H12+SUMPRODUCT(((Vectors!$C$4*$K$12/100)+$L12+$F13)/(1+$M12)^Vectors!$A$3:INDIRECT(CONCATENATE("Vectors!A",MIN($I$12:$I$20)+2))), -$H12+SUMPRODUCT(((Vectors!$C$4*$K$12/100)+$L12)/(1+$M12)^Vectors!$A$3:INDIRECT(CONCATENATE("Vectors!A",MIN($I$12:$I$20)+2)))+SUMPRODUCT(($D13)/(1+$M12)^Vectors!$A$3:INDIRECT(CONCATENATE("Vectors!A",$E12/12+2)))),$C12-$H12+SUMPRODUCT(((Vectors!$C$4*$K$12/100)+$L12)/(1+$M12)^Vectors!$A$3:INDIRECT(CONCATENATE("Vectors!A",MIN($I$12:$I$20)+2)))))</f>
        <v>234792.6275231984</v>
      </c>
      <c r="F25" s="29" cm="1">
        <f t="array" aca="1" ref="F25" ca="1">IF(IF($C12="",IF($D13=0,-$H12+SUMPRODUCT(((Vectors!$C$5*$K$12/100)+$L12+$F13)/(1+$M12)^Vectors!$A$3:INDIRECT(CONCATENATE("Vectors!A",MIN($I$12:$I$20)+2))), -$H12+SUMPRODUCT(((Vectors!$C$5*$K$12/100)+$L12)/(1+$M12)^Vectors!$A$3:INDIRECT(CONCATENATE("Vectors!A",MIN($I$12:$I$20)+2)))+SUMPRODUCT(($D13)/(1+$M12)^Vectors!$A$3:INDIRECT(CONCATENATE("Vectors!A",$E12/12+2)))),$C12-$H12+SUMPRODUCT(((Vectors!$C$5*$K$12/100)+$L12)/(1+$M12)^Vectors!$A$3:INDIRECT(CONCATENATE("Vectors!A",MIN($I$12:$I$20)+2))))=0,"-",IF($C12="",IF($D13=0,-$H12+SUMPRODUCT(((Vectors!$C$5*$K$12/100)+$L12+$F13)/(1+$M12)^Vectors!$A$3:INDIRECT(CONCATENATE("Vectors!A",MIN($I$12:$I$20)+2))), -$H12+SUMPRODUCT(((Vectors!$C$5*$K$12/100)+$L12)/(1+$M12)^Vectors!$A$3:INDIRECT(CONCATENATE("Vectors!A",MIN($I$12:$I$20)+2)))+SUMPRODUCT(($D13)/(1+$M12)^Vectors!$A$3:INDIRECT(CONCATENATE("Vectors!A",$E12/12+2)))),$C12-$H12+SUMPRODUCT(((Vectors!$C$5*$K$12/100)+$L12)/(1+$M12)^Vectors!$A$3:INDIRECT(CONCATENATE("Vectors!A",MIN($I$12:$I$20)+2)))))</f>
        <v>304400.44128479756</v>
      </c>
      <c r="G25" s="29" cm="1">
        <f t="array" aca="1" ref="G25" ca="1">IF(IF($C12="",IF($D13=0,-$H12+SUMPRODUCT(((Vectors!$C$6*$K$12/100)+$L12+$F13)/(1+$M12)^Vectors!$A$3:INDIRECT(CONCATENATE("Vectors!A",MIN($I$12:$I$20)+2))), -$H12+SUMPRODUCT(((Vectors!$C$6*$K$12/100)+$L12)/(1+$M12)^Vectors!$A$3:INDIRECT(CONCATENATE("Vectors!A",MIN($I$12:$I$20)+2)))+SUMPRODUCT(($D13)/(1+$M12)^Vectors!$A$3:INDIRECT(CONCATENATE("Vectors!A",$E12/12+2)))),$C12-$H12+SUMPRODUCT(((Vectors!$C$6*$K$12/100)+$L12)/(1+$M12)^Vectors!$A$3:INDIRECT(CONCATENATE("Vectors!A",MIN($I$12:$I$20)+2))))=0,"-",IF($C12="",IF($D13=0,-$H12+SUMPRODUCT(((Vectors!$C$6*$K$12/100)+$L12+$F13)/(1+$M12)^Vectors!$A$3:INDIRECT(CONCATENATE("Vectors!A",MIN($I$12:$I$20)+2))), -$H12+SUMPRODUCT(((Vectors!$C$6*$K$12/100)+$L12)/(1+$M12)^Vectors!$A$3:INDIRECT(CONCATENATE("Vectors!A",MIN($I$12:$I$20)+2)))+SUMPRODUCT(($D13)/(1+$M12)^Vectors!$A$3:INDIRECT(CONCATENATE("Vectors!A",$E12/12+2)))),$C12-$H12+SUMPRODUCT(((Vectors!$C$6*$K$12/100)+$L12)/(1+$M12)^Vectors!$A$3:INDIRECT(CONCATENATE("Vectors!A",MIN($I$12:$I$20)+2)))))</f>
        <v>374008.25504639681</v>
      </c>
      <c r="H25" s="29" cm="1">
        <f t="array" aca="1" ref="H25" ca="1">IF(IF($C12="",IF($D13=0,-$H12+SUMPRODUCT(((Vectors!$C$7*$K$12/100)+$L12+$F13)/(1+$M12)^Vectors!$A$3:INDIRECT(CONCATENATE("Vectors!A",MIN($I$12:$I$20)+2))), -$H12+SUMPRODUCT(((Vectors!$C$7*$K$12/100)+$L12)/(1+$M12)^Vectors!$A$3:INDIRECT(CONCATENATE("Vectors!A",MIN($I$12:$I$20)+2)))+SUMPRODUCT(($D13)/(1+$M12)^Vectors!$A$3:INDIRECT(CONCATENATE("Vectors!A",$E12/12+2)))),$C12-$H12+SUMPRODUCT(((Vectors!$C$7*$K$12/100)+$L12)/(1+$M12)^Vectors!$A$3:INDIRECT(CONCATENATE("Vectors!A",MIN($I$12:$I$20)+2))))=0,"-",IF($C12="",IF($D13=0,-$H12+SUMPRODUCT(((Vectors!$C$7*$K$12/100)+$L12+$F13)/(1+$M12)^Vectors!$A$3:INDIRECT(CONCATENATE("Vectors!A",MIN($I$12:$I$20)+2))), -$H12+SUMPRODUCT(((Vectors!$C$7*$K$12/100)+$L12)/(1+$M12)^Vectors!$A$3:INDIRECT(CONCATENATE("Vectors!A",MIN($I$12:$I$20)+2)))+SUMPRODUCT(($D13)/(1+$M12)^Vectors!$A$3:INDIRECT(CONCATENATE("Vectors!A",$E12/12+2)))),$C12-$H12+SUMPRODUCT(((Vectors!$C$7*$K$12/100)+$L12)/(1+$M12)^Vectors!$A$3:INDIRECT(CONCATENATE("Vectors!A",MIN($I$12:$I$20)+2)))))</f>
        <v>443616.06880799599</v>
      </c>
      <c r="I25" s="29" cm="1">
        <f t="array" aca="1" ref="I25" ca="1">IF(IF($C12="",IF($D13=0,-$H12+SUMPRODUCT(((Vectors!$C$8*$K$12/100)+$L12+$F13)/(1+$M12)^Vectors!$A$3:INDIRECT(CONCATENATE("Vectors!A",MIN($I$12:$I$20)+2))), -$H12+SUMPRODUCT(((Vectors!$C$8*$K$12/100)+$L12)/(1+$M12)^Vectors!$A$3:INDIRECT(CONCATENATE("Vectors!A",MIN($I$12:$I$20)+2)))+SUMPRODUCT(($D13)/(1+$M12)^Vectors!$A$3:INDIRECT(CONCATENATE("Vectors!A",$E12/12+2)))),$C12-$H12+SUMPRODUCT(((Vectors!$C$8*$K$12/100)+$L12)/(1+$M12)^Vectors!$A$3:INDIRECT(CONCATENATE("Vectors!A",MIN($I$12:$I$20)+2))))=0,"-",IF($C12="",IF($D13=0,-$H12+SUMPRODUCT(((Vectors!$C$8*$K$12/100)+$L12+$F13)/(1+$M12)^Vectors!$A$3:INDIRECT(CONCATENATE("Vectors!A",MIN($I$12:$I$20)+2))), -$H12+SUMPRODUCT(((Vectors!$C$8*$K$12/100)+$L12)/(1+$M12)^Vectors!$A$3:INDIRECT(CONCATENATE("Vectors!A",MIN($I$12:$I$20)+2)))+SUMPRODUCT(($D13)/(1+$M12)^Vectors!$A$3:INDIRECT(CONCATENATE("Vectors!A",$E12/12+2)))),$C12-$H12+SUMPRODUCT(((Vectors!$C$8*$K$12/100)+$L12)/(1+$M12)^Vectors!$A$3:INDIRECT(CONCATENATE("Vectors!A",MIN($I$12:$I$20)+2)))))</f>
        <v>513223.88256959512</v>
      </c>
      <c r="J25" s="29" cm="1">
        <f t="array" aca="1" ref="J25" ca="1">IF(IF($C12="",IF($D13=0,-$H12+SUMPRODUCT(((Vectors!$C$9*$K$12/100)+$L12+$F13)/(1+$M12)^Vectors!$A$3:INDIRECT(CONCATENATE("Vectors!A",MIN($I$12:$I$20)+2))), -$H12+SUMPRODUCT(((Vectors!$C$9*$K$12/100)+$L12)/(1+$M12)^Vectors!$A$3:INDIRECT(CONCATENATE("Vectors!A",MIN($I$12:$I$20)+2)))+SUMPRODUCT(($D13)/(1+$M12)^Vectors!$A$3:INDIRECT(CONCATENATE("Vectors!A",$E12/12+2)))),$C12-$H12+SUMPRODUCT(((Vectors!$C$9*$K$12/100)+$L12)/(1+$M12)^Vectors!$A$3:INDIRECT(CONCATENATE("Vectors!A",MIN($I$12:$I$20)+2))))=0,"-",IF($C12="",IF($D13=0,-$H12+SUMPRODUCT(((Vectors!$C$9*$K$12/100)+$L12+$F13)/(1+$M12)^Vectors!$A$3:INDIRECT(CONCATENATE("Vectors!A",MIN($I$12:$I$20)+2))), -$H12+SUMPRODUCT(((Vectors!$C$9*$K$12/100)+$L12)/(1+$M12)^Vectors!$A$3:INDIRECT(CONCATENATE("Vectors!A",MIN($I$12:$I$20)+2)))+SUMPRODUCT(($D13)/(1+$M12)^Vectors!$A$3:INDIRECT(CONCATENATE("Vectors!A",$E12/12+2)))),$C12-$H12+SUMPRODUCT(((Vectors!$C$9*$K$12/100)+$L12)/(1+$M12)^Vectors!$A$3:INDIRECT(CONCATENATE("Vectors!A",MIN($I$12:$I$20)+2)))))</f>
        <v>582831.69633119437</v>
      </c>
      <c r="K25" s="29" cm="1">
        <f t="array" aca="1" ref="K25" ca="1">IF(IF($C12="",IF($D13=0,-$H12+SUMPRODUCT(((Vectors!$C$10*$K$12/100)+$L12+$F13)/(1+$M12)^Vectors!$A$3:INDIRECT(CONCATENATE("Vectors!A",MIN($I$12:$I$20)+2))), -$H12+SUMPRODUCT(((Vectors!$C$10*$K$12/100)+$L12)/(1+$M12)^Vectors!$A$3:INDIRECT(CONCATENATE("Vectors!A",MIN($I$12:$I$20)+2)))+SUMPRODUCT(($D13)/(1+$M12)^Vectors!$A$3:INDIRECT(CONCATENATE("Vectors!A",$E12/12+2)))),$C12-$H12+SUMPRODUCT(((Vectors!$C$10*$K$12/100)+$L12)/(1+$M12)^Vectors!$A$3:INDIRECT(CONCATENATE("Vectors!A",MIN($I$12:$I$20)+2))))=0,"-",IF($C12="",IF($D13=0,-$H12+SUMPRODUCT(((Vectors!$C$10*$K$12/100)+$L12+$F13)/(1+$M12)^Vectors!$A$3:INDIRECT(CONCATENATE("Vectors!A",MIN($I$12:$I$20)+2))), -$H12+SUMPRODUCT(((Vectors!$C$10*$K$12/100)+$L12)/(1+$M12)^Vectors!$A$3:INDIRECT(CONCATENATE("Vectors!A",MIN($I$12:$I$20)+2)))+SUMPRODUCT(($D13)/(1+$M12)^Vectors!$A$3:INDIRECT(CONCATENATE("Vectors!A",$E12/12+2)))),$C12-$H12+SUMPRODUCT(((Vectors!$C$10*$K$12/100)+$L12)/(1+$M12)^Vectors!$A$3:INDIRECT(CONCATENATE("Vectors!A",MIN($I$12:$I$20)+2)))))</f>
        <v>652439.51009279361</v>
      </c>
    </row>
    <row r="26" spans="2:14" x14ac:dyDescent="0.35">
      <c r="B26" s="27" t="s">
        <v>3</v>
      </c>
      <c r="C26" s="29" t="str" cm="1">
        <f t="array" aca="1" ref="C26" ca="1">IF(IF($C14="",IF($D15=0,-$H14+SUMPRODUCT(((Vectors!$C$2*$K$14/100)+$L14+$F15)/(1+$M14)^Vectors!$A$3:INDIRECT(CONCATENATE("Vectors!A",MIN($I$12:$I$20)+2))), -$H14+SUMPRODUCT(((Vectors!$C$2*$K$14/100)+$L14)/(1+$M14)^Vectors!$A$3:INDIRECT(CONCATENATE("Vectors!A",MIN($I$12:$I$20)+2)))+SUMPRODUCT(($D15)/(1+$M14)^Vectors!$A$3:INDIRECT(CONCATENATE("Vectors!A",$E14/12+2)))),$C14-$H14+SUMPRODUCT(((Vectors!$C$2*$K$14/100)+$L14)/(1+$M14)^Vectors!$A$3:INDIRECT(CONCATENATE("Vectors!A",MIN($I$12:$I$20)+2))))=0,"-",IF($C14="",IF($D15=0,-$H14+SUMPRODUCT(((Vectors!$C$2*$K$14/100)+$L14+$F15)/(1+$M14)^Vectors!$A$3:INDIRECT(CONCATENATE("Vectors!A",MIN($I$12:$I$20)+2))), -$H14+SUMPRODUCT(((Vectors!$C$2*$K$14/100)+$L14)/(1+$M14)^Vectors!$A$3:INDIRECT(CONCATENATE("Vectors!A",MIN($I$12:$I$20)+2)))+SUMPRODUCT(($D15)/(1+$M14)^Vectors!$A$3:INDIRECT(CONCATENATE("Vectors!A",$E14/12+2)))),$C14-$H14+SUMPRODUCT(((Vectors!$C$2*$K$14/100)+$L14)/(1+$M14)^Vectors!$A$3:INDIRECT(CONCATENATE("Vectors!A",MIN($I$12:$I$20)+2)))))</f>
        <v>-</v>
      </c>
      <c r="D26" s="29" t="str" cm="1">
        <f t="array" aca="1" ref="D26" ca="1">IF(IF($C14="",IF($D15=0,-$H14+SUMPRODUCT(((Vectors!$C$3*$K$14/100)+$L14+$F15)/(1+$M14)^Vectors!$A$3:INDIRECT(CONCATENATE("Vectors!A",MIN($I$12:$I$20)+2))), -$H14+SUMPRODUCT(((Vectors!$C$3*$K$14/100)+$L14)/(1+$M14)^Vectors!$A$3:INDIRECT(CONCATENATE("Vectors!A",MIN($I$12:$I$20)+2)))+SUMPRODUCT(($D15)/(1+$M14)^Vectors!$A$3:INDIRECT(CONCATENATE("Vectors!A",$E14/12+2)))),$C14-$H14+SUMPRODUCT(((Vectors!$C$3*$K$14/100)+$L14)/(1+$M14)^Vectors!$A$3:INDIRECT(CONCATENATE("Vectors!A",MIN($I$12:$I$20)+2))))=0,"-",IF($C14="",IF($D15=0,-$H14+SUMPRODUCT(((Vectors!$C$3*$K$14/100)+$L14+$F15)/(1+$M14)^Vectors!$A$3:INDIRECT(CONCATENATE("Vectors!A",MIN($I$12:$I$20)+2))), -$H14+SUMPRODUCT(((Vectors!$C$3*$K$14/100)+$L14)/(1+$M14)^Vectors!$A$3:INDIRECT(CONCATENATE("Vectors!A",MIN($I$12:$I$20)+2)))+SUMPRODUCT(($D15)/(1+$M14)^Vectors!$A$3:INDIRECT(CONCATENATE("Vectors!A",$E14/12+2)))),$C14-$H14+SUMPRODUCT(((Vectors!$C$3*$K$14/100)+$L14)/(1+$M14)^Vectors!$A$3:INDIRECT(CONCATENATE("Vectors!A",MIN($I$12:$I$20)+2)))))</f>
        <v>-</v>
      </c>
      <c r="E26" s="29" t="str" cm="1">
        <f t="array" aca="1" ref="E26" ca="1">IF(IF($C14="",IF($D15=0,-$H14+SUMPRODUCT(((Vectors!$C$4*$K$14/100)+$L14+$F15)/(1+$M14)^Vectors!$A$3:INDIRECT(CONCATENATE("Vectors!A",MIN($I$12:$I$20)+2))), -$H14+SUMPRODUCT(((Vectors!$C$4*$K$14/100)+$L14)/(1+$M14)^Vectors!$A$3:INDIRECT(CONCATENATE("Vectors!A",MIN($I$12:$I$20)+2)))+SUMPRODUCT(($D15)/(1+$M14)^Vectors!$A$3:INDIRECT(CONCATENATE("Vectors!A",$E14/12+2)))),$C14-$H14+SUMPRODUCT(((Vectors!$C$4*$K$14/100)+$L14)/(1+$M14)^Vectors!$A$3:INDIRECT(CONCATENATE("Vectors!A",MIN($I$12:$I$20)+2))))=0,"-",IF($C14="",IF($D15=0,-$H14+SUMPRODUCT(((Vectors!$C$4*$K$14/100)+$L14+$F15)/(1+$M14)^Vectors!$A$3:INDIRECT(CONCATENATE("Vectors!A",MIN($I$12:$I$20)+2))), -$H14+SUMPRODUCT(((Vectors!$C$4*$K$14/100)+$L14)/(1+$M14)^Vectors!$A$3:INDIRECT(CONCATENATE("Vectors!A",MIN($I$12:$I$20)+2)))+SUMPRODUCT(($D15)/(1+$M14)^Vectors!$A$3:INDIRECT(CONCATENATE("Vectors!A",$E14/12+2)))),$C14-$H14+SUMPRODUCT(((Vectors!$C$4*$K$14/100)+$L14)/(1+$M14)^Vectors!$A$3:INDIRECT(CONCATENATE("Vectors!A",MIN($I$12:$I$20)+2)))))</f>
        <v>-</v>
      </c>
      <c r="F26" s="29" t="str" cm="1">
        <f t="array" aca="1" ref="F26" ca="1">IF(IF($C14="",IF($D15=0,-$H14+SUMPRODUCT(((Vectors!$C$5*$K$14/100)+$L14+$F15)/(1+$M14)^Vectors!$A$3:INDIRECT(CONCATENATE("Vectors!A",MIN($I$12:$I$20)+2))), -$H14+SUMPRODUCT(((Vectors!$C$5*$K$14/100)+$L14)/(1+$M14)^Vectors!$A$3:INDIRECT(CONCATENATE("Vectors!A",MIN($I$12:$I$20)+2)))+SUMPRODUCT(($D15)/(1+$M14)^Vectors!$A$3:INDIRECT(CONCATENATE("Vectors!A",$E14/12+2)))),$C14-$H14+SUMPRODUCT(((Vectors!$C$5*$K$14/100)+$L14)/(1+$M14)^Vectors!$A$3:INDIRECT(CONCATENATE("Vectors!A",MIN($I$12:$I$20)+2))))=0,"-",IF($C14="",IF($D15=0,-$H14+SUMPRODUCT(((Vectors!$C$5*$K$14/100)+$L14+$F15)/(1+$M14)^Vectors!$A$3:INDIRECT(CONCATENATE("Vectors!A",MIN($I$12:$I$20)+2))), -$H14+SUMPRODUCT(((Vectors!$C$5*$K$14/100)+$L14)/(1+$M14)^Vectors!$A$3:INDIRECT(CONCATENATE("Vectors!A",MIN($I$12:$I$20)+2)))+SUMPRODUCT(($D15)/(1+$M14)^Vectors!$A$3:INDIRECT(CONCATENATE("Vectors!A",$E14/12+2)))),$C14-$H14+SUMPRODUCT(((Vectors!$C$5*$K$14/100)+$L14)/(1+$M14)^Vectors!$A$3:INDIRECT(CONCATENATE("Vectors!A",MIN($I$12:$I$20)+2)))))</f>
        <v>-</v>
      </c>
      <c r="G26" s="29" t="str" cm="1">
        <f t="array" aca="1" ref="G26" ca="1">IF(IF($C14="",IF($D15=0,-$H14+SUMPRODUCT(((Vectors!$C$6*$K$14/100)+$L14+$F15)/(1+$M14)^Vectors!$A$3:INDIRECT(CONCATENATE("Vectors!A",MIN($I$12:$I$20)+2))), -$H14+SUMPRODUCT(((Vectors!$C$6*$K$14/100)+$L14)/(1+$M14)^Vectors!$A$3:INDIRECT(CONCATENATE("Vectors!A",MIN($I$12:$I$20)+2)))+SUMPRODUCT(($D15)/(1+$M14)^Vectors!$A$3:INDIRECT(CONCATENATE("Vectors!A",$E14/12+2)))),$C14-$H14+SUMPRODUCT(((Vectors!$C$6*$K$14/100)+$L14)/(1+$M14)^Vectors!$A$3:INDIRECT(CONCATENATE("Vectors!A",MIN($I$12:$I$20)+2))))=0,"-",IF($C14="",IF($D15=0,-$H14+SUMPRODUCT(((Vectors!$C$6*$K$14/100)+$L14+$F15)/(1+$M14)^Vectors!$A$3:INDIRECT(CONCATENATE("Vectors!A",MIN($I$12:$I$20)+2))), -$H14+SUMPRODUCT(((Vectors!$C$6*$K$14/100)+$L14)/(1+$M14)^Vectors!$A$3:INDIRECT(CONCATENATE("Vectors!A",MIN($I$12:$I$20)+2)))+SUMPRODUCT(($D15)/(1+$M14)^Vectors!$A$3:INDIRECT(CONCATENATE("Vectors!A",$E14/12+2)))),$C14-$H14+SUMPRODUCT(((Vectors!$C$6*$K$14/100)+$L14)/(1+$M14)^Vectors!$A$3:INDIRECT(CONCATENATE("Vectors!A",MIN($I$12:$I$20)+2)))))</f>
        <v>-</v>
      </c>
      <c r="H26" s="29" t="str" cm="1">
        <f t="array" aca="1" ref="H26" ca="1">IF(IF($C14="",IF($D15=0,-$H14+SUMPRODUCT(((Vectors!$C$7*$K$14/100)+$L14+$F15)/(1+$M14)^Vectors!$A$3:INDIRECT(CONCATENATE("Vectors!A",MIN($I$12:$I$20)+2))), -$H14+SUMPRODUCT(((Vectors!$C$7*$K$14/100)+$L14)/(1+$M14)^Vectors!$A$3:INDIRECT(CONCATENATE("Vectors!A",MIN($I$12:$I$20)+2)))+SUMPRODUCT(($D15)/(1+$M14)^Vectors!$A$3:INDIRECT(CONCATENATE("Vectors!A",$E14/12+2)))),$C14-$H14+SUMPRODUCT(((Vectors!$C$7*$K$14/100)+$L14)/(1+$M14)^Vectors!$A$3:INDIRECT(CONCATENATE("Vectors!A",MIN($I$12:$I$20)+2))))=0,"-",IF($C14="",IF($D15=0,-$H14+SUMPRODUCT(((Vectors!$C$7*$K$14/100)+$L14+$F15)/(1+$M14)^Vectors!$A$3:INDIRECT(CONCATENATE("Vectors!A",MIN($I$12:$I$20)+2))), -$H14+SUMPRODUCT(((Vectors!$C$7*$K$14/100)+$L14)/(1+$M14)^Vectors!$A$3:INDIRECT(CONCATENATE("Vectors!A",MIN($I$12:$I$20)+2)))+SUMPRODUCT(($D15)/(1+$M14)^Vectors!$A$3:INDIRECT(CONCATENATE("Vectors!A",$E14/12+2)))),$C14-$H14+SUMPRODUCT(((Vectors!$C$7*$K$14/100)+$L14)/(1+$M14)^Vectors!$A$3:INDIRECT(CONCATENATE("Vectors!A",MIN($I$12:$I$20)+2)))))</f>
        <v>-</v>
      </c>
      <c r="I26" s="29" t="str" cm="1">
        <f t="array" aca="1" ref="I26" ca="1">IF(IF($C14="",IF($D15=0,-$H14+SUMPRODUCT(((Vectors!$C$8*$K$14/100)+$L14+$F15)/(1+$M14)^Vectors!$A$3:INDIRECT(CONCATENATE("Vectors!A",MIN($I$12:$I$20)+2))), -$H14+SUMPRODUCT(((Vectors!$C$8*$K$14/100)+$L14)/(1+$M14)^Vectors!$A$3:INDIRECT(CONCATENATE("Vectors!A",MIN($I$12:$I$20)+2)))+SUMPRODUCT(($D15)/(1+$M14)^Vectors!$A$3:INDIRECT(CONCATENATE("Vectors!A",$E14/12+2)))),$C14-$H14+SUMPRODUCT(((Vectors!$C$8*$K$14/100)+$L14)/(1+$M14)^Vectors!$A$3:INDIRECT(CONCATENATE("Vectors!A",MIN($I$12:$I$20)+2))))=0,"-",IF($C14="",IF($D15=0,-$H14+SUMPRODUCT(((Vectors!$C$8*$K$14/100)+$L14+$F15)/(1+$M14)^Vectors!$A$3:INDIRECT(CONCATENATE("Vectors!A",MIN($I$12:$I$20)+2))), -$H14+SUMPRODUCT(((Vectors!$C$8*$K$14/100)+$L14)/(1+$M14)^Vectors!$A$3:INDIRECT(CONCATENATE("Vectors!A",MIN($I$12:$I$20)+2)))+SUMPRODUCT(($D15)/(1+$M14)^Vectors!$A$3:INDIRECT(CONCATENATE("Vectors!A",$E14/12+2)))),$C14-$H14+SUMPRODUCT(((Vectors!$C$8*$K$14/100)+$L14)/(1+$M14)^Vectors!$A$3:INDIRECT(CONCATENATE("Vectors!A",MIN($I$12:$I$20)+2)))))</f>
        <v>-</v>
      </c>
      <c r="J26" s="29" t="str" cm="1">
        <f t="array" aca="1" ref="J26" ca="1">IF(IF($C14="",IF($D15=0,-$H14+SUMPRODUCT(((Vectors!$C$9*$K$14/100)+$L14+$F15)/(1+$M14)^Vectors!$A$3:INDIRECT(CONCATENATE("Vectors!A",MIN($I$12:$I$20)+2))), -$H14+SUMPRODUCT(((Vectors!$C$9*$K$14/100)+$L14)/(1+$M14)^Vectors!$A$3:INDIRECT(CONCATENATE("Vectors!A",MIN($I$12:$I$20)+2)))+SUMPRODUCT(($D15)/(1+$M14)^Vectors!$A$3:INDIRECT(CONCATENATE("Vectors!A",$E14/12+2)))),$C14-$H14+SUMPRODUCT(((Vectors!$C$9*$K$14/100)+$L14)/(1+$M14)^Vectors!$A$3:INDIRECT(CONCATENATE("Vectors!A",MIN($I$12:$I$20)+2))))=0,"-",IF($C14="",IF($D15=0,-$H14+SUMPRODUCT(((Vectors!$C$9*$K$14/100)+$L14+$F15)/(1+$M14)^Vectors!$A$3:INDIRECT(CONCATENATE("Vectors!A",MIN($I$12:$I$20)+2))), -$H14+SUMPRODUCT(((Vectors!$C$9*$K$14/100)+$L14)/(1+$M14)^Vectors!$A$3:INDIRECT(CONCATENATE("Vectors!A",MIN($I$12:$I$20)+2)))+SUMPRODUCT(($D15)/(1+$M14)^Vectors!$A$3:INDIRECT(CONCATENATE("Vectors!A",$E14/12+2)))),$C14-$H14+SUMPRODUCT(((Vectors!$C$9*$K$14/100)+$L14)/(1+$M14)^Vectors!$A$3:INDIRECT(CONCATENATE("Vectors!A",MIN($I$12:$I$20)+2)))))</f>
        <v>-</v>
      </c>
      <c r="K26" s="29" t="str" cm="1">
        <f t="array" aca="1" ref="K26" ca="1">IF(IF($C14="",IF($D15=0,-$H14+SUMPRODUCT(((Vectors!$C$10*$K$14/100)+$L14+$F15)/(1+$M14)^Vectors!$A$3:INDIRECT(CONCATENATE("Vectors!A",MIN($I$12:$I$20)+2))), -$H14+SUMPRODUCT(((Vectors!$C$10*$K$14/100)+$L14)/(1+$M14)^Vectors!$A$3:INDIRECT(CONCATENATE("Vectors!A",MIN($I$12:$I$20)+2)))+SUMPRODUCT(($D15)/(1+$M14)^Vectors!$A$3:INDIRECT(CONCATENATE("Vectors!A",$E14/12+2)))),$C14-$H14+SUMPRODUCT(((Vectors!$C$10*$K$14/100)+$L14)/(1+$M14)^Vectors!$A$3:INDIRECT(CONCATENATE("Vectors!A",MIN($I$12:$I$20)+2))))=0,"-",IF($C14="",IF($D15=0,-$H14+SUMPRODUCT(((Vectors!$C$10*$K$14/100)+$L14+$F15)/(1+$M14)^Vectors!$A$3:INDIRECT(CONCATENATE("Vectors!A",MIN($I$12:$I$20)+2))), -$H14+SUMPRODUCT(((Vectors!$C$10*$K$14/100)+$L14)/(1+$M14)^Vectors!$A$3:INDIRECT(CONCATENATE("Vectors!A",MIN($I$12:$I$20)+2)))+SUMPRODUCT(($D15)/(1+$M14)^Vectors!$A$3:INDIRECT(CONCATENATE("Vectors!A",$E14/12+2)))),$C14-$H14+SUMPRODUCT(((Vectors!$C$10*$K$14/100)+$L14)/(1+$M14)^Vectors!$A$3:INDIRECT(CONCATENATE("Vectors!A",MIN($I$12:$I$20)+2)))))</f>
        <v>-</v>
      </c>
    </row>
    <row r="27" spans="2:14" x14ac:dyDescent="0.35">
      <c r="B27" s="27" t="s">
        <v>4</v>
      </c>
      <c r="C27" s="29" cm="1">
        <f t="array" aca="1" ref="C27" ca="1">IF(IF($C16="",IF($D17=0,-$H16+SUMPRODUCT(((Vectors!$C$2*$K$16/100)+$L16+$F17)/(1+$M16)^Vectors!$A$3:INDIRECT(CONCATENATE("Vectors!A",MIN($I$12:$I$20)+2))), -$H16+SUMPRODUCT(((Vectors!$C$2*$K$16/100)+$L16)/(1+$M16)^Vectors!$A$3:INDIRECT(CONCATENATE("Vectors!A",MIN($I$12:$I$20)+2)))+SUMPRODUCT(($D17)/(1+$M16)^Vectors!$A$3:INDIRECT(CONCATENATE("Vectors!A",$E16/12+2)))),$C16-$H16+SUMPRODUCT(((Vectors!$C$2*$K$16/100)+$L16)/(1+$M16)^Vectors!$A$3:INDIRECT(CONCATENATE("Vectors!A",MIN($I$12:$I$20)+2))))=0,"-",IF($C16="",IF($D17=0,-$H16+SUMPRODUCT(((Vectors!$C$2*$K$16/100)+$L16+$F17)/(1+$M16)^Vectors!$A$3:INDIRECT(CONCATENATE("Vectors!A",MIN($I$12:$I$20)+2))), -$H16+SUMPRODUCT(((Vectors!$C$2*$K$16/100)+$L16)/(1+$M16)^Vectors!$A$3:INDIRECT(CONCATENATE("Vectors!A",MIN($I$12:$I$20)+2)))+SUMPRODUCT(($D17)/(1+$M16)^Vectors!$A$3:INDIRECT(CONCATENATE("Vectors!A",$E16/12+2)))),$C16-$H16+SUMPRODUCT(((Vectors!$C$2*$K$16/100)+$L16)/(1+$M16)^Vectors!$A$3:INDIRECT(CONCATENATE("Vectors!A",MIN($I$12:$I$20)+2)))))</f>
        <v>160000</v>
      </c>
      <c r="D27" s="29" cm="1">
        <f t="array" aca="1" ref="D27" ca="1">IF(IF($C16="",IF($D17=0,-$H16+SUMPRODUCT(((Vectors!$C$3*$K$16/100)+$L16+$F17)/(1+$M16)^Vectors!$A$3:INDIRECT(CONCATENATE("Vectors!A",MIN($I$12:$I$20)+2))), -$H16+SUMPRODUCT(((Vectors!$C$3*$K$16/100)+$L16)/(1+$M16)^Vectors!$A$3:INDIRECT(CONCATENATE("Vectors!A",MIN($I$12:$I$20)+2)))+SUMPRODUCT(($D17)/(1+$M16)^Vectors!$A$3:INDIRECT(CONCATENATE("Vectors!A",$E16/12+2)))),$C16-$H16+SUMPRODUCT(((Vectors!$C$3*$K$16/100)+$L16)/(1+$M16)^Vectors!$A$3:INDIRECT(CONCATENATE("Vectors!A",MIN($I$12:$I$20)+2))))=0,"-",IF($C16="",IF($D17=0,-$H16+SUMPRODUCT(((Vectors!$C$3*$K$16/100)+$L16+$F17)/(1+$M16)^Vectors!$A$3:INDIRECT(CONCATENATE("Vectors!A",MIN($I$12:$I$20)+2))), -$H16+SUMPRODUCT(((Vectors!$C$3*$K$16/100)+$L16)/(1+$M16)^Vectors!$A$3:INDIRECT(CONCATENATE("Vectors!A",MIN($I$12:$I$20)+2)))+SUMPRODUCT(($D17)/(1+$M16)^Vectors!$A$3:INDIRECT(CONCATENATE("Vectors!A",$E16/12+2)))),$C16-$H16+SUMPRODUCT(((Vectors!$C$3*$K$16/100)+$L16)/(1+$M16)^Vectors!$A$3:INDIRECT(CONCATENATE("Vectors!A",MIN($I$12:$I$20)+2)))))</f>
        <v>194920.69851462779</v>
      </c>
      <c r="E27" s="29" cm="1">
        <f t="array" aca="1" ref="E27" ca="1">IF(IF($C16="",IF($D17=0,-$H16+SUMPRODUCT(((Vectors!$C$4*$K$16/100)+$L16+$F17)/(1+$M16)^Vectors!$A$3:INDIRECT(CONCATENATE("Vectors!A",MIN($I$12:$I$20)+2))), -$H16+SUMPRODUCT(((Vectors!$C$4*$K$16/100)+$L16)/(1+$M16)^Vectors!$A$3:INDIRECT(CONCATENATE("Vectors!A",MIN($I$12:$I$20)+2)))+SUMPRODUCT(($D17)/(1+$M16)^Vectors!$A$3:INDIRECT(CONCATENATE("Vectors!A",$E16/12+2)))),$C16-$H16+SUMPRODUCT(((Vectors!$C$4*$K$16/100)+$L16)/(1+$M16)^Vectors!$A$3:INDIRECT(CONCATENATE("Vectors!A",MIN($I$12:$I$20)+2))))=0,"-",IF($C16="",IF($D17=0,-$H16+SUMPRODUCT(((Vectors!$C$4*$K$16/100)+$L16+$F17)/(1+$M16)^Vectors!$A$3:INDIRECT(CONCATENATE("Vectors!A",MIN($I$12:$I$20)+2))), -$H16+SUMPRODUCT(((Vectors!$C$4*$K$16/100)+$L16)/(1+$M16)^Vectors!$A$3:INDIRECT(CONCATENATE("Vectors!A",MIN($I$12:$I$20)+2)))+SUMPRODUCT(($D17)/(1+$M16)^Vectors!$A$3:INDIRECT(CONCATENATE("Vectors!A",$E16/12+2)))),$C16-$H16+SUMPRODUCT(((Vectors!$C$4*$K$16/100)+$L16)/(1+$M16)^Vectors!$A$3:INDIRECT(CONCATENATE("Vectors!A",MIN($I$12:$I$20)+2)))))</f>
        <v>229841.39702925558</v>
      </c>
      <c r="F27" s="29" cm="1">
        <f t="array" aca="1" ref="F27" ca="1">IF(IF($C16="",IF($D17=0,-$H16+SUMPRODUCT(((Vectors!$C$5*$K$16/100)+$L16+$F17)/(1+$M16)^Vectors!$A$3:INDIRECT(CONCATENATE("Vectors!A",MIN($I$12:$I$20)+2))), -$H16+SUMPRODUCT(((Vectors!$C$5*$K$16/100)+$L16)/(1+$M16)^Vectors!$A$3:INDIRECT(CONCATENATE("Vectors!A",MIN($I$12:$I$20)+2)))+SUMPRODUCT(($D17)/(1+$M16)^Vectors!$A$3:INDIRECT(CONCATENATE("Vectors!A",$E16/12+2)))),$C16-$H16+SUMPRODUCT(((Vectors!$C$5*$K$16/100)+$L16)/(1+$M16)^Vectors!$A$3:INDIRECT(CONCATENATE("Vectors!A",MIN($I$12:$I$20)+2))))=0,"-",IF($C16="",IF($D17=0,-$H16+SUMPRODUCT(((Vectors!$C$5*$K$16/100)+$L16+$F17)/(1+$M16)^Vectors!$A$3:INDIRECT(CONCATENATE("Vectors!A",MIN($I$12:$I$20)+2))), -$H16+SUMPRODUCT(((Vectors!$C$5*$K$16/100)+$L16)/(1+$M16)^Vectors!$A$3:INDIRECT(CONCATENATE("Vectors!A",MIN($I$12:$I$20)+2)))+SUMPRODUCT(($D17)/(1+$M16)^Vectors!$A$3:INDIRECT(CONCATENATE("Vectors!A",$E16/12+2)))),$C16-$H16+SUMPRODUCT(((Vectors!$C$5*$K$16/100)+$L16)/(1+$M16)^Vectors!$A$3:INDIRECT(CONCATENATE("Vectors!A",MIN($I$12:$I$20)+2)))))</f>
        <v>264762.09554388333</v>
      </c>
      <c r="G27" s="29" cm="1">
        <f t="array" aca="1" ref="G27" ca="1">IF(IF($C16="",IF($D17=0,-$H16+SUMPRODUCT(((Vectors!$C$6*$K$16/100)+$L16+$F17)/(1+$M16)^Vectors!$A$3:INDIRECT(CONCATENATE("Vectors!A",MIN($I$12:$I$20)+2))), -$H16+SUMPRODUCT(((Vectors!$C$6*$K$16/100)+$L16)/(1+$M16)^Vectors!$A$3:INDIRECT(CONCATENATE("Vectors!A",MIN($I$12:$I$20)+2)))+SUMPRODUCT(($D17)/(1+$M16)^Vectors!$A$3:INDIRECT(CONCATENATE("Vectors!A",$E16/12+2)))),$C16-$H16+SUMPRODUCT(((Vectors!$C$6*$K$16/100)+$L16)/(1+$M16)^Vectors!$A$3:INDIRECT(CONCATENATE("Vectors!A",MIN($I$12:$I$20)+2))))=0,"-",IF($C16="",IF($D17=0,-$H16+SUMPRODUCT(((Vectors!$C$6*$K$16/100)+$L16+$F17)/(1+$M16)^Vectors!$A$3:INDIRECT(CONCATENATE("Vectors!A",MIN($I$12:$I$20)+2))), -$H16+SUMPRODUCT(((Vectors!$C$6*$K$16/100)+$L16)/(1+$M16)^Vectors!$A$3:INDIRECT(CONCATENATE("Vectors!A",MIN($I$12:$I$20)+2)))+SUMPRODUCT(($D17)/(1+$M16)^Vectors!$A$3:INDIRECT(CONCATENATE("Vectors!A",$E16/12+2)))),$C16-$H16+SUMPRODUCT(((Vectors!$C$6*$K$16/100)+$L16)/(1+$M16)^Vectors!$A$3:INDIRECT(CONCATENATE("Vectors!A",MIN($I$12:$I$20)+2)))))</f>
        <v>299682.79405851115</v>
      </c>
      <c r="H27" s="29" cm="1">
        <f t="array" aca="1" ref="H27" ca="1">IF(IF($C16="",IF($D17=0,-$H16+SUMPRODUCT(((Vectors!$C$7*$K$16/100)+$L16+$F17)/(1+$M16)^Vectors!$A$3:INDIRECT(CONCATENATE("Vectors!A",MIN($I$12:$I$20)+2))), -$H16+SUMPRODUCT(((Vectors!$C$7*$K$16/100)+$L16)/(1+$M16)^Vectors!$A$3:INDIRECT(CONCATENATE("Vectors!A",MIN($I$12:$I$20)+2)))+SUMPRODUCT(($D17)/(1+$M16)^Vectors!$A$3:INDIRECT(CONCATENATE("Vectors!A",$E16/12+2)))),$C16-$H16+SUMPRODUCT(((Vectors!$C$7*$K$16/100)+$L16)/(1+$M16)^Vectors!$A$3:INDIRECT(CONCATENATE("Vectors!A",MIN($I$12:$I$20)+2))))=0,"-",IF($C16="",IF($D17=0,-$H16+SUMPRODUCT(((Vectors!$C$7*$K$16/100)+$L16+$F17)/(1+$M16)^Vectors!$A$3:INDIRECT(CONCATENATE("Vectors!A",MIN($I$12:$I$20)+2))), -$H16+SUMPRODUCT(((Vectors!$C$7*$K$16/100)+$L16)/(1+$M16)^Vectors!$A$3:INDIRECT(CONCATENATE("Vectors!A",MIN($I$12:$I$20)+2)))+SUMPRODUCT(($D17)/(1+$M16)^Vectors!$A$3:INDIRECT(CONCATENATE("Vectors!A",$E16/12+2)))),$C16-$H16+SUMPRODUCT(((Vectors!$C$7*$K$16/100)+$L16)/(1+$M16)^Vectors!$A$3:INDIRECT(CONCATENATE("Vectors!A",MIN($I$12:$I$20)+2)))))</f>
        <v>334603.49257313897</v>
      </c>
      <c r="I27" s="29" cm="1">
        <f t="array" aca="1" ref="I27" ca="1">IF(IF($C16="",IF($D17=0,-$H16+SUMPRODUCT(((Vectors!$C$8*$K$16/100)+$L16+$F17)/(1+$M16)^Vectors!$A$3:INDIRECT(CONCATENATE("Vectors!A",MIN($I$12:$I$20)+2))), -$H16+SUMPRODUCT(((Vectors!$C$8*$K$16/100)+$L16)/(1+$M16)^Vectors!$A$3:INDIRECT(CONCATENATE("Vectors!A",MIN($I$12:$I$20)+2)))+SUMPRODUCT(($D17)/(1+$M16)^Vectors!$A$3:INDIRECT(CONCATENATE("Vectors!A",$E16/12+2)))),$C16-$H16+SUMPRODUCT(((Vectors!$C$8*$K$16/100)+$L16)/(1+$M16)^Vectors!$A$3:INDIRECT(CONCATENATE("Vectors!A",MIN($I$12:$I$20)+2))))=0,"-",IF($C16="",IF($D17=0,-$H16+SUMPRODUCT(((Vectors!$C$8*$K$16/100)+$L16+$F17)/(1+$M16)^Vectors!$A$3:INDIRECT(CONCATENATE("Vectors!A",MIN($I$12:$I$20)+2))), -$H16+SUMPRODUCT(((Vectors!$C$8*$K$16/100)+$L16)/(1+$M16)^Vectors!$A$3:INDIRECT(CONCATENATE("Vectors!A",MIN($I$12:$I$20)+2)))+SUMPRODUCT(($D17)/(1+$M16)^Vectors!$A$3:INDIRECT(CONCATENATE("Vectors!A",$E16/12+2)))),$C16-$H16+SUMPRODUCT(((Vectors!$C$8*$K$16/100)+$L16)/(1+$M16)^Vectors!$A$3:INDIRECT(CONCATENATE("Vectors!A",MIN($I$12:$I$20)+2)))))</f>
        <v>369524.19108776667</v>
      </c>
      <c r="J27" s="29" cm="1">
        <f t="array" aca="1" ref="J27" ca="1">IF(IF($C16="",IF($D17=0,-$H16+SUMPRODUCT(((Vectors!$C$9*$K$16/100)+$L16+$F17)/(1+$M16)^Vectors!$A$3:INDIRECT(CONCATENATE("Vectors!A",MIN($I$12:$I$20)+2))), -$H16+SUMPRODUCT(((Vectors!$C$9*$K$16/100)+$L16)/(1+$M16)^Vectors!$A$3:INDIRECT(CONCATENATE("Vectors!A",MIN($I$12:$I$20)+2)))+SUMPRODUCT(($D17)/(1+$M16)^Vectors!$A$3:INDIRECT(CONCATENATE("Vectors!A",$E16/12+2)))),$C16-$H16+SUMPRODUCT(((Vectors!$C$9*$K$16/100)+$L16)/(1+$M16)^Vectors!$A$3:INDIRECT(CONCATENATE("Vectors!A",MIN($I$12:$I$20)+2))))=0,"-",IF($C16="",IF($D17=0,-$H16+SUMPRODUCT(((Vectors!$C$9*$K$16/100)+$L16+$F17)/(1+$M16)^Vectors!$A$3:INDIRECT(CONCATENATE("Vectors!A",MIN($I$12:$I$20)+2))), -$H16+SUMPRODUCT(((Vectors!$C$9*$K$16/100)+$L16)/(1+$M16)^Vectors!$A$3:INDIRECT(CONCATENATE("Vectors!A",MIN($I$12:$I$20)+2)))+SUMPRODUCT(($D17)/(1+$M16)^Vectors!$A$3:INDIRECT(CONCATENATE("Vectors!A",$E16/12+2)))),$C16-$H16+SUMPRODUCT(((Vectors!$C$9*$K$16/100)+$L16)/(1+$M16)^Vectors!$A$3:INDIRECT(CONCATENATE("Vectors!A",MIN($I$12:$I$20)+2)))))</f>
        <v>404444.88960239448</v>
      </c>
      <c r="K27" s="29" cm="1">
        <f t="array" aca="1" ref="K27" ca="1">IF(IF($C16="",IF($D17=0,-$H16+SUMPRODUCT(((Vectors!$C$10*$K$16/100)+$L16+$F17)/(1+$M16)^Vectors!$A$3:INDIRECT(CONCATENATE("Vectors!A",MIN($I$12:$I$20)+2))), -$H16+SUMPRODUCT(((Vectors!$C$10*$K$16/100)+$L16)/(1+$M16)^Vectors!$A$3:INDIRECT(CONCATENATE("Vectors!A",MIN($I$12:$I$20)+2)))+SUMPRODUCT(($D17)/(1+$M16)^Vectors!$A$3:INDIRECT(CONCATENATE("Vectors!A",$E16/12+2)))),$C16-$H16+SUMPRODUCT(((Vectors!$C$10*$K$16/100)+$L16)/(1+$M16)^Vectors!$A$3:INDIRECT(CONCATENATE("Vectors!A",MIN($I$12:$I$20)+2))))=0,"-",IF($C16="",IF($D17=0,-$H16+SUMPRODUCT(((Vectors!$C$10*$K$16/100)+$L16+$F17)/(1+$M16)^Vectors!$A$3:INDIRECT(CONCATENATE("Vectors!A",MIN($I$12:$I$20)+2))), -$H16+SUMPRODUCT(((Vectors!$C$10*$K$16/100)+$L16)/(1+$M16)^Vectors!$A$3:INDIRECT(CONCATENATE("Vectors!A",MIN($I$12:$I$20)+2)))+SUMPRODUCT(($D17)/(1+$M16)^Vectors!$A$3:INDIRECT(CONCATENATE("Vectors!A",$E16/12+2)))),$C16-$H16+SUMPRODUCT(((Vectors!$C$10*$K$16/100)+$L16)/(1+$M16)^Vectors!$A$3:INDIRECT(CONCATENATE("Vectors!A",MIN($I$12:$I$20)+2)))))</f>
        <v>439365.58811702224</v>
      </c>
    </row>
    <row r="28" spans="2:14" x14ac:dyDescent="0.35">
      <c r="B28" s="27" t="s">
        <v>5</v>
      </c>
      <c r="C28" s="29" t="str" cm="1">
        <f t="array" aca="1" ref="C28" ca="1">IF(IF($C18="",IF($D19=0,-$H18+SUMPRODUCT(((Vectors!$C$2*$K$18/100)+$L18+$F19)/(1+$M18)^Vectors!$A$3:INDIRECT(CONCATENATE("Vectors!A",MIN($I$12:$I$20)+2))), -$H18+SUMPRODUCT(((Vectors!$C$2*$K$18/100)+$L18)/(1+$M18)^Vectors!$A$3:INDIRECT(CONCATENATE("Vectors!A",MIN($I$12:$I$20)+2)))+SUMPRODUCT(($D19)/(1+$M18)^Vectors!$A$3:INDIRECT(CONCATENATE("Vectors!A",$E18/12+2)))),$C18-$H18+SUMPRODUCT(((Vectors!$C$2*$K$18/100)+$L18)/(1+$M18)^Vectors!$A$3:INDIRECT(CONCATENATE("Vectors!A",MIN($I$12:$I$20)+2))))=0,"-",IF($C18="",IF($D19=0,-$H18+SUMPRODUCT(((Vectors!$C$2*$K$18/100)+$L18+$F19)/(1+$M18)^Vectors!$A$3:INDIRECT(CONCATENATE("Vectors!A",MIN($I$12:$I$20)+2))), -$H18+SUMPRODUCT(((Vectors!$C$2*$K$18/100)+$L18)/(1+$M18)^Vectors!$A$3:INDIRECT(CONCATENATE("Vectors!A",MIN($I$12:$I$20)+2)))+SUMPRODUCT(($D19)/(1+$M18)^Vectors!$A$3:INDIRECT(CONCATENATE("Vectors!A",$E18/12+2)))),$C18-$H18+SUMPRODUCT(((Vectors!$C$2*$K$18/100)+$L18)/(1+$M18)^Vectors!$A$3:INDIRECT(CONCATENATE("Vectors!A",MIN($I$12:$I$20)+2)))))</f>
        <v>-</v>
      </c>
      <c r="D28" s="29" t="str" cm="1">
        <f t="array" aca="1" ref="D28" ca="1">IF(IF($C18="",IF($D19=0,-$H18+SUMPRODUCT(((Vectors!$C$3*$K$18/100)+$L18+$F19)/(1+$M18)^Vectors!$A$3:INDIRECT(CONCATENATE("Vectors!A",MIN($I$12:$I$20)+2))), -$H18+SUMPRODUCT(((Vectors!$C$3*$K$18/100)+$L18)/(1+$M18)^Vectors!$A$3:INDIRECT(CONCATENATE("Vectors!A",MIN($I$12:$I$20)+2)))+SUMPRODUCT(($D19)/(1+$M18)^Vectors!$A$3:INDIRECT(CONCATENATE("Vectors!A",$E18/12+2)))),$C18-$H18+SUMPRODUCT(((Vectors!$C$3*$K$18/100)+$L18)/(1+$M18)^Vectors!$A$3:INDIRECT(CONCATENATE("Vectors!A",MIN($I$12:$I$20)+2))))=0,"-",IF($C18="",IF($D19=0,-$H18+SUMPRODUCT(((Vectors!$C$3*$K$18/100)+$L18+$F19)/(1+$M18)^Vectors!$A$3:INDIRECT(CONCATENATE("Vectors!A",MIN($I$12:$I$20)+2))), -$H18+SUMPRODUCT(((Vectors!$C$3*$K$18/100)+$L18)/(1+$M18)^Vectors!$A$3:INDIRECT(CONCATENATE("Vectors!A",MIN($I$12:$I$20)+2)))+SUMPRODUCT(($D19)/(1+$M18)^Vectors!$A$3:INDIRECT(CONCATENATE("Vectors!A",$E18/12+2)))),$C18-$H18+SUMPRODUCT(((Vectors!$C$3*$K$18/100)+$L18)/(1+$M18)^Vectors!$A$3:INDIRECT(CONCATENATE("Vectors!A",MIN($I$12:$I$20)+2)))))</f>
        <v>-</v>
      </c>
      <c r="E28" s="29" t="str" cm="1">
        <f t="array" aca="1" ref="E28" ca="1">IF(IF($C18="",IF($D19=0,-$H18+SUMPRODUCT(((Vectors!$C$4*$K$18/100)+$L18+$F19)/(1+$M18)^Vectors!$A$3:INDIRECT(CONCATENATE("Vectors!A",MIN($I$12:$I$20)+2))), -$H18+SUMPRODUCT(((Vectors!$C$4*$K$18/100)+$L18)/(1+$M18)^Vectors!$A$3:INDIRECT(CONCATENATE("Vectors!A",MIN($I$12:$I$20)+2)))+SUMPRODUCT(($D19)/(1+$M18)^Vectors!$A$3:INDIRECT(CONCATENATE("Vectors!A",$E18/12+2)))),$C18-$H18+SUMPRODUCT(((Vectors!$C$4*$K$18/100)+$L18)/(1+$M18)^Vectors!$A$3:INDIRECT(CONCATENATE("Vectors!A",MIN($I$12:$I$20)+2))))=0,"-",IF($C18="",IF($D19=0,-$H18+SUMPRODUCT(((Vectors!$C$4*$K$18/100)+$L18+$F19)/(1+$M18)^Vectors!$A$3:INDIRECT(CONCATENATE("Vectors!A",MIN($I$12:$I$20)+2))), -$H18+SUMPRODUCT(((Vectors!$C$4*$K$18/100)+$L18)/(1+$M18)^Vectors!$A$3:INDIRECT(CONCATENATE("Vectors!A",MIN($I$12:$I$20)+2)))+SUMPRODUCT(($D19)/(1+$M18)^Vectors!$A$3:INDIRECT(CONCATENATE("Vectors!A",$E18/12+2)))),$C18-$H18+SUMPRODUCT(((Vectors!$C$4*$K$18/100)+$L18)/(1+$M18)^Vectors!$A$3:INDIRECT(CONCATENATE("Vectors!A",MIN($I$12:$I$20)+2)))))</f>
        <v>-</v>
      </c>
      <c r="F28" s="29" t="str" cm="1">
        <f t="array" aca="1" ref="F28" ca="1">IF(IF($C18="",IF($D19=0,-$H18+SUMPRODUCT(((Vectors!$C$5*$K$18/100)+$L18+$F19)/(1+$M18)^Vectors!$A$3:INDIRECT(CONCATENATE("Vectors!A",MIN($I$12:$I$20)+2))), -$H18+SUMPRODUCT(((Vectors!$C$5*$K$18/100)+$L18)/(1+$M18)^Vectors!$A$3:INDIRECT(CONCATENATE("Vectors!A",MIN($I$12:$I$20)+2)))+SUMPRODUCT(($D19)/(1+$M18)^Vectors!$A$3:INDIRECT(CONCATENATE("Vectors!A",$E18/12+2)))),$C18-$H18+SUMPRODUCT(((Vectors!$C$5*$K$18/100)+$L18)/(1+$M18)^Vectors!$A$3:INDIRECT(CONCATENATE("Vectors!A",MIN($I$12:$I$20)+2))))=0,"-",IF($C18="",IF($D19=0,-$H18+SUMPRODUCT(((Vectors!$C$5*$K$18/100)+$L18+$F19)/(1+$M18)^Vectors!$A$3:INDIRECT(CONCATENATE("Vectors!A",MIN($I$12:$I$20)+2))), -$H18+SUMPRODUCT(((Vectors!$C$5*$K$18/100)+$L18)/(1+$M18)^Vectors!$A$3:INDIRECT(CONCATENATE("Vectors!A",MIN($I$12:$I$20)+2)))+SUMPRODUCT(($D19)/(1+$M18)^Vectors!$A$3:INDIRECT(CONCATENATE("Vectors!A",$E18/12+2)))),$C18-$H18+SUMPRODUCT(((Vectors!$C$5*$K$18/100)+$L18)/(1+$M18)^Vectors!$A$3:INDIRECT(CONCATENATE("Vectors!A",MIN($I$12:$I$20)+2)))))</f>
        <v>-</v>
      </c>
      <c r="G28" s="29" t="str" cm="1">
        <f t="array" aca="1" ref="G28" ca="1">IF(IF($C18="",IF($D19=0,-$H18+SUMPRODUCT(((Vectors!$C$6*$K$18/100)+$L18+$F19)/(1+$M18)^Vectors!$A$3:INDIRECT(CONCATENATE("Vectors!A",MIN($I$12:$I$20)+2))), -$H18+SUMPRODUCT(((Vectors!$C$6*$K$18/100)+$L18)/(1+$M18)^Vectors!$A$3:INDIRECT(CONCATENATE("Vectors!A",MIN($I$12:$I$20)+2)))+SUMPRODUCT(($D19)/(1+$M18)^Vectors!$A$3:INDIRECT(CONCATENATE("Vectors!A",$E18/12+2)))),$C18-$H18+SUMPRODUCT(((Vectors!$C$6*$K$18/100)+$L18)/(1+$M18)^Vectors!$A$3:INDIRECT(CONCATENATE("Vectors!A",MIN($I$12:$I$20)+2))))=0,"-",IF($C18="",IF($D19=0,-$H18+SUMPRODUCT(((Vectors!$C$6*$K$18/100)+$L18+$F19)/(1+$M18)^Vectors!$A$3:INDIRECT(CONCATENATE("Vectors!A",MIN($I$12:$I$20)+2))), -$H18+SUMPRODUCT(((Vectors!$C$6*$K$18/100)+$L18)/(1+$M18)^Vectors!$A$3:INDIRECT(CONCATENATE("Vectors!A",MIN($I$12:$I$20)+2)))+SUMPRODUCT(($D19)/(1+$M18)^Vectors!$A$3:INDIRECT(CONCATENATE("Vectors!A",$E18/12+2)))),$C18-$H18+SUMPRODUCT(((Vectors!$C$6*$K$18/100)+$L18)/(1+$M18)^Vectors!$A$3:INDIRECT(CONCATENATE("Vectors!A",MIN($I$12:$I$20)+2)))))</f>
        <v>-</v>
      </c>
      <c r="H28" s="29" t="str" cm="1">
        <f t="array" aca="1" ref="H28" ca="1">IF(IF($C18="",IF($D19=0,-$H18+SUMPRODUCT(((Vectors!$C$7*$K$18/100)+$L18+$F19)/(1+$M18)^Vectors!$A$3:INDIRECT(CONCATENATE("Vectors!A",MIN($I$12:$I$20)+2))), -$H18+SUMPRODUCT(((Vectors!$C$7*$K$18/100)+$L18)/(1+$M18)^Vectors!$A$3:INDIRECT(CONCATENATE("Vectors!A",MIN($I$12:$I$20)+2)))+SUMPRODUCT(($D19)/(1+$M18)^Vectors!$A$3:INDIRECT(CONCATENATE("Vectors!A",$E18/12+2)))),$C18-$H18+SUMPRODUCT(((Vectors!$C$7*$K$18/100)+$L18)/(1+$M18)^Vectors!$A$3:INDIRECT(CONCATENATE("Vectors!A",MIN($I$12:$I$20)+2))))=0,"-",IF($C18="",IF($D19=0,-$H18+SUMPRODUCT(((Vectors!$C$7*$K$18/100)+$L18+$F19)/(1+$M18)^Vectors!$A$3:INDIRECT(CONCATENATE("Vectors!A",MIN($I$12:$I$20)+2))), -$H18+SUMPRODUCT(((Vectors!$C$7*$K$18/100)+$L18)/(1+$M18)^Vectors!$A$3:INDIRECT(CONCATENATE("Vectors!A",MIN($I$12:$I$20)+2)))+SUMPRODUCT(($D19)/(1+$M18)^Vectors!$A$3:INDIRECT(CONCATENATE("Vectors!A",$E18/12+2)))),$C18-$H18+SUMPRODUCT(((Vectors!$C$7*$K$18/100)+$L18)/(1+$M18)^Vectors!$A$3:INDIRECT(CONCATENATE("Vectors!A",MIN($I$12:$I$20)+2)))))</f>
        <v>-</v>
      </c>
      <c r="I28" s="29" t="str" cm="1">
        <f t="array" aca="1" ref="I28" ca="1">IF(IF($C18="",IF($D19=0,-$H18+SUMPRODUCT(((Vectors!$C$8*$K$18/100)+$L18+$F19)/(1+$M18)^Vectors!$A$3:INDIRECT(CONCATENATE("Vectors!A",MIN($I$12:$I$20)+2))), -$H18+SUMPRODUCT(((Vectors!$C$8*$K$18/100)+$L18)/(1+$M18)^Vectors!$A$3:INDIRECT(CONCATENATE("Vectors!A",MIN($I$12:$I$20)+2)))+SUMPRODUCT(($D19)/(1+$M18)^Vectors!$A$3:INDIRECT(CONCATENATE("Vectors!A",$E18/12+2)))),$C18-$H18+SUMPRODUCT(((Vectors!$C$8*$K$18/100)+$L18)/(1+$M18)^Vectors!$A$3:INDIRECT(CONCATENATE("Vectors!A",MIN($I$12:$I$20)+2))))=0,"-",IF($C18="",IF($D19=0,-$H18+SUMPRODUCT(((Vectors!$C$8*$K$18/100)+$L18+$F19)/(1+$M18)^Vectors!$A$3:INDIRECT(CONCATENATE("Vectors!A",MIN($I$12:$I$20)+2))), -$H18+SUMPRODUCT(((Vectors!$C$8*$K$18/100)+$L18)/(1+$M18)^Vectors!$A$3:INDIRECT(CONCATENATE("Vectors!A",MIN($I$12:$I$20)+2)))+SUMPRODUCT(($D19)/(1+$M18)^Vectors!$A$3:INDIRECT(CONCATENATE("Vectors!A",$E18/12+2)))),$C18-$H18+SUMPRODUCT(((Vectors!$C$8*$K$18/100)+$L18)/(1+$M18)^Vectors!$A$3:INDIRECT(CONCATENATE("Vectors!A",MIN($I$12:$I$20)+2)))))</f>
        <v>-</v>
      </c>
      <c r="J28" s="29" t="str" cm="1">
        <f t="array" aca="1" ref="J28" ca="1">IF(IF($C18="",IF($D19=0,-$H18+SUMPRODUCT(((Vectors!$C$9*$K$18/100)+$L18+$F19)/(1+$M18)^Vectors!$A$3:INDIRECT(CONCATENATE("Vectors!A",MIN($I$12:$I$20)+2))), -$H18+SUMPRODUCT(((Vectors!$C$9*$K$18/100)+$L18)/(1+$M18)^Vectors!$A$3:INDIRECT(CONCATENATE("Vectors!A",MIN($I$12:$I$20)+2)))+SUMPRODUCT(($D19)/(1+$M18)^Vectors!$A$3:INDIRECT(CONCATENATE("Vectors!A",$E18/12+2)))),$C18-$H18+SUMPRODUCT(((Vectors!$C$9*$K$18/100)+$L18)/(1+$M18)^Vectors!$A$3:INDIRECT(CONCATENATE("Vectors!A",MIN($I$12:$I$20)+2))))=0,"-",IF($C18="",IF($D19=0,-$H18+SUMPRODUCT(((Vectors!$C$9*$K$18/100)+$L18+$F19)/(1+$M18)^Vectors!$A$3:INDIRECT(CONCATENATE("Vectors!A",MIN($I$12:$I$20)+2))), -$H18+SUMPRODUCT(((Vectors!$C$9*$K$18/100)+$L18)/(1+$M18)^Vectors!$A$3:INDIRECT(CONCATENATE("Vectors!A",MIN($I$12:$I$20)+2)))+SUMPRODUCT(($D19)/(1+$M18)^Vectors!$A$3:INDIRECT(CONCATENATE("Vectors!A",$E18/12+2)))),$C18-$H18+SUMPRODUCT(((Vectors!$C$9*$K$18/100)+$L18)/(1+$M18)^Vectors!$A$3:INDIRECT(CONCATENATE("Vectors!A",MIN($I$12:$I$20)+2)))))</f>
        <v>-</v>
      </c>
      <c r="K28" s="29" t="str" cm="1">
        <f t="array" aca="1" ref="K28" ca="1">IF(IF($C18="",IF($D19=0,-$H18+SUMPRODUCT(((Vectors!$C$10*$K$18/100)+$L18+$F19)/(1+$M18)^Vectors!$A$3:INDIRECT(CONCATENATE("Vectors!A",MIN($I$12:$I$20)+2))), -$H18+SUMPRODUCT(((Vectors!$C$10*$K$18/100)+$L18)/(1+$M18)^Vectors!$A$3:INDIRECT(CONCATENATE("Vectors!A",MIN($I$12:$I$20)+2)))+SUMPRODUCT(($D19)/(1+$M18)^Vectors!$A$3:INDIRECT(CONCATENATE("Vectors!A",$E18/12+2)))),$C18-$H18+SUMPRODUCT(((Vectors!$C$10*$K$18/100)+$L18)/(1+$M18)^Vectors!$A$3:INDIRECT(CONCATENATE("Vectors!A",MIN($I$12:$I$20)+2))))=0,"-",IF($C18="",IF($D19=0,-$H18+SUMPRODUCT(((Vectors!$C$10*$K$18/100)+$L18+$F19)/(1+$M18)^Vectors!$A$3:INDIRECT(CONCATENATE("Vectors!A",MIN($I$12:$I$20)+2))), -$H18+SUMPRODUCT(((Vectors!$C$10*$K$18/100)+$L18)/(1+$M18)^Vectors!$A$3:INDIRECT(CONCATENATE("Vectors!A",MIN($I$12:$I$20)+2)))+SUMPRODUCT(($D19)/(1+$M18)^Vectors!$A$3:INDIRECT(CONCATENATE("Vectors!A",$E18/12+2)))),$C18-$H18+SUMPRODUCT(((Vectors!$C$10*$K$18/100)+$L18)/(1+$M18)^Vectors!$A$3:INDIRECT(CONCATENATE("Vectors!A",MIN($I$12:$I$20)+2)))))</f>
        <v>-</v>
      </c>
    </row>
    <row r="29" spans="2:14" x14ac:dyDescent="0.35">
      <c r="B29" s="27" t="s">
        <v>6</v>
      </c>
      <c r="C29" s="29" cm="1">
        <f t="array" aca="1" ref="C29" ca="1">IF(IF($C20="",IF($D21=0,-$H20+SUMPRODUCT(((Vectors!$C$2*$K$20/100)+$L20+$F21)/(1+$M20)^Vectors!$A$3:INDIRECT(CONCATENATE("Vectors!A",MIN($I$12:$I$20)+2))), -$H20+SUMPRODUCT(((Vectors!$C$2*$K$20/100)+$L20)/(1+$M20)^Vectors!$A$3:INDIRECT(CONCATENATE("Vectors!A",MIN($I$12:$I$20)+2)))+SUMPRODUCT(($D21)/(1+$M20)^Vectors!$A$3:INDIRECT(CONCATENATE("Vectors!A",$E20/12+2)))),$C20-$H20+SUMPRODUCT(((Vectors!$C$2*$K$20/100)+$L20)/(1+$M20)^Vectors!$A$3:INDIRECT(CONCATENATE("Vectors!A",MIN($I$12:$I$20)+2))))=0,"-",IF($C20="",IF($D21=0,-$H20+SUMPRODUCT(((Vectors!$C$2*$K$20/100)+$L20+$F21)/(1+$M20)^Vectors!$A$3:INDIRECT(CONCATENATE("Vectors!A",MIN($I$12:$I$20)+2))), -$H20+SUMPRODUCT(((Vectors!$C$2*$K$20/100)+$L20)/(1+$M20)^Vectors!$A$3:INDIRECT(CONCATENATE("Vectors!A",MIN($I$12:$I$20)+2)))+SUMPRODUCT(($D21)/(1+$M20)^Vectors!$A$3:INDIRECT(CONCATENATE("Vectors!A",$E20/12+2)))),$C20-$H20+SUMPRODUCT(((Vectors!$C$2*$K$20/100)+$L20)/(1+$M20)^Vectors!$A$3:INDIRECT(CONCATENATE("Vectors!A",MIN($I$12:$I$20)+2)))))</f>
        <v>200000</v>
      </c>
      <c r="D29" s="29" cm="1">
        <f t="array" aca="1" ref="D29" ca="1">IF(IF($C20="",IF($D21=0,-$H20+SUMPRODUCT(((Vectors!$C$3*$K$20/100)+$L20+$F21)/(1+$M20)^Vectors!$A$3:INDIRECT(CONCATENATE("Vectors!A",MIN($I$12:$I$20)+2))), -$H20+SUMPRODUCT(((Vectors!$C$3*$K$20/100)+$L20)/(1+$M20)^Vectors!$A$3:INDIRECT(CONCATENATE("Vectors!A",MIN($I$12:$I$20)+2)))+SUMPRODUCT(($D21)/(1+$M20)^Vectors!$A$3:INDIRECT(CONCATENATE("Vectors!A",$E20/12+2)))),$C20-$H20+SUMPRODUCT(((Vectors!$C$3*$K$20/100)+$L20)/(1+$M20)^Vectors!$A$3:INDIRECT(CONCATENATE("Vectors!A",MIN($I$12:$I$20)+2))))=0,"-",IF($C20="",IF($D21=0,-$H20+SUMPRODUCT(((Vectors!$C$3*$K$20/100)+$L20+$F21)/(1+$M20)^Vectors!$A$3:INDIRECT(CONCATENATE("Vectors!A",MIN($I$12:$I$20)+2))), -$H20+SUMPRODUCT(((Vectors!$C$3*$K$20/100)+$L20)/(1+$M20)^Vectors!$A$3:INDIRECT(CONCATENATE("Vectors!A",MIN($I$12:$I$20)+2)))+SUMPRODUCT(($D21)/(1+$M20)^Vectors!$A$3:INDIRECT(CONCATENATE("Vectors!A",$E20/12+2)))),$C20-$H20+SUMPRODUCT(((Vectors!$C$3*$K$20/100)+$L20)/(1+$M20)^Vectors!$A$3:INDIRECT(CONCATENATE("Vectors!A",MIN($I$12:$I$20)+2)))))</f>
        <v>262296.65748395474</v>
      </c>
      <c r="E29" s="29" cm="1">
        <f t="array" aca="1" ref="E29" ca="1">IF(IF($C20="",IF($D21=0,-$H20+SUMPRODUCT(((Vectors!$C$4*$K$20/100)+$L20+$F21)/(1+$M20)^Vectors!$A$3:INDIRECT(CONCATENATE("Vectors!A",MIN($I$12:$I$20)+2))), -$H20+SUMPRODUCT(((Vectors!$C$4*$K$20/100)+$L20)/(1+$M20)^Vectors!$A$3:INDIRECT(CONCATENATE("Vectors!A",MIN($I$12:$I$20)+2)))+SUMPRODUCT(($D21)/(1+$M20)^Vectors!$A$3:INDIRECT(CONCATENATE("Vectors!A",$E20/12+2)))),$C20-$H20+SUMPRODUCT(((Vectors!$C$4*$K$20/100)+$L20)/(1+$M20)^Vectors!$A$3:INDIRECT(CONCATENATE("Vectors!A",MIN($I$12:$I$20)+2))))=0,"-",IF($C20="",IF($D21=0,-$H20+SUMPRODUCT(((Vectors!$C$4*$K$20/100)+$L20+$F21)/(1+$M20)^Vectors!$A$3:INDIRECT(CONCATENATE("Vectors!A",MIN($I$12:$I$20)+2))), -$H20+SUMPRODUCT(((Vectors!$C$4*$K$20/100)+$L20)/(1+$M20)^Vectors!$A$3:INDIRECT(CONCATENATE("Vectors!A",MIN($I$12:$I$20)+2)))+SUMPRODUCT(($D21)/(1+$M20)^Vectors!$A$3:INDIRECT(CONCATENATE("Vectors!A",$E20/12+2)))),$C20-$H20+SUMPRODUCT(((Vectors!$C$4*$K$20/100)+$L20)/(1+$M20)^Vectors!$A$3:INDIRECT(CONCATENATE("Vectors!A",MIN($I$12:$I$20)+2)))))</f>
        <v>324593.31496790942</v>
      </c>
      <c r="F29" s="29" cm="1">
        <f t="array" aca="1" ref="F29" ca="1">IF(IF($C20="",IF($D21=0,-$H20+SUMPRODUCT(((Vectors!$C$5*$K$20/100)+$L20+$F21)/(1+$M20)^Vectors!$A$3:INDIRECT(CONCATENATE("Vectors!A",MIN($I$12:$I$20)+2))), -$H20+SUMPRODUCT(((Vectors!$C$5*$K$20/100)+$L20)/(1+$M20)^Vectors!$A$3:INDIRECT(CONCATENATE("Vectors!A",MIN($I$12:$I$20)+2)))+SUMPRODUCT(($D21)/(1+$M20)^Vectors!$A$3:INDIRECT(CONCATENATE("Vectors!A",$E20/12+2)))),$C20-$H20+SUMPRODUCT(((Vectors!$C$5*$K$20/100)+$L20)/(1+$M20)^Vectors!$A$3:INDIRECT(CONCATENATE("Vectors!A",MIN($I$12:$I$20)+2))))=0,"-",IF($C20="",IF($D21=0,-$H20+SUMPRODUCT(((Vectors!$C$5*$K$20/100)+$L20+$F21)/(1+$M20)^Vectors!$A$3:INDIRECT(CONCATENATE("Vectors!A",MIN($I$12:$I$20)+2))), -$H20+SUMPRODUCT(((Vectors!$C$5*$K$20/100)+$L20)/(1+$M20)^Vectors!$A$3:INDIRECT(CONCATENATE("Vectors!A",MIN($I$12:$I$20)+2)))+SUMPRODUCT(($D21)/(1+$M20)^Vectors!$A$3:INDIRECT(CONCATENATE("Vectors!A",$E20/12+2)))),$C20-$H20+SUMPRODUCT(((Vectors!$C$5*$K$20/100)+$L20)/(1+$M20)^Vectors!$A$3:INDIRECT(CONCATENATE("Vectors!A",MIN($I$12:$I$20)+2)))))</f>
        <v>386889.97245186416</v>
      </c>
      <c r="G29" s="29" cm="1">
        <f t="array" aca="1" ref="G29" ca="1">IF(IF($C20="",IF($D21=0,-$H20+SUMPRODUCT(((Vectors!$C$6*$K$20/100)+$L20+$F21)/(1+$M20)^Vectors!$A$3:INDIRECT(CONCATENATE("Vectors!A",MIN($I$12:$I$20)+2))), -$H20+SUMPRODUCT(((Vectors!$C$6*$K$20/100)+$L20)/(1+$M20)^Vectors!$A$3:INDIRECT(CONCATENATE("Vectors!A",MIN($I$12:$I$20)+2)))+SUMPRODUCT(($D21)/(1+$M20)^Vectors!$A$3:INDIRECT(CONCATENATE("Vectors!A",$E20/12+2)))),$C20-$H20+SUMPRODUCT(((Vectors!$C$6*$K$20/100)+$L20)/(1+$M20)^Vectors!$A$3:INDIRECT(CONCATENATE("Vectors!A",MIN($I$12:$I$20)+2))))=0,"-",IF($C20="",IF($D21=0,-$H20+SUMPRODUCT(((Vectors!$C$6*$K$20/100)+$L20+$F21)/(1+$M20)^Vectors!$A$3:INDIRECT(CONCATENATE("Vectors!A",MIN($I$12:$I$20)+2))), -$H20+SUMPRODUCT(((Vectors!$C$6*$K$20/100)+$L20)/(1+$M20)^Vectors!$A$3:INDIRECT(CONCATENATE("Vectors!A",MIN($I$12:$I$20)+2)))+SUMPRODUCT(($D21)/(1+$M20)^Vectors!$A$3:INDIRECT(CONCATENATE("Vectors!A",$E20/12+2)))),$C20-$H20+SUMPRODUCT(((Vectors!$C$6*$K$20/100)+$L20)/(1+$M20)^Vectors!$A$3:INDIRECT(CONCATENATE("Vectors!A",MIN($I$12:$I$20)+2)))))</f>
        <v>449186.62993581884</v>
      </c>
      <c r="H29" s="29" cm="1">
        <f t="array" aca="1" ref="H29" ca="1">IF(IF($C20="",IF($D21=0,-$H20+SUMPRODUCT(((Vectors!$C$7*$K$20/100)+$L20+$F21)/(1+$M20)^Vectors!$A$3:INDIRECT(CONCATENATE("Vectors!A",MIN($I$12:$I$20)+2))), -$H20+SUMPRODUCT(((Vectors!$C$7*$K$20/100)+$L20)/(1+$M20)^Vectors!$A$3:INDIRECT(CONCATENATE("Vectors!A",MIN($I$12:$I$20)+2)))+SUMPRODUCT(($D21)/(1+$M20)^Vectors!$A$3:INDIRECT(CONCATENATE("Vectors!A",$E20/12+2)))),$C20-$H20+SUMPRODUCT(((Vectors!$C$7*$K$20/100)+$L20)/(1+$M20)^Vectors!$A$3:INDIRECT(CONCATENATE("Vectors!A",MIN($I$12:$I$20)+2))))=0,"-",IF($C20="",IF($D21=0,-$H20+SUMPRODUCT(((Vectors!$C$7*$K$20/100)+$L20+$F21)/(1+$M20)^Vectors!$A$3:INDIRECT(CONCATENATE("Vectors!A",MIN($I$12:$I$20)+2))), -$H20+SUMPRODUCT(((Vectors!$C$7*$K$20/100)+$L20)/(1+$M20)^Vectors!$A$3:INDIRECT(CONCATENATE("Vectors!A",MIN($I$12:$I$20)+2)))+SUMPRODUCT(($D21)/(1+$M20)^Vectors!$A$3:INDIRECT(CONCATENATE("Vectors!A",$E20/12+2)))),$C20-$H20+SUMPRODUCT(((Vectors!$C$7*$K$20/100)+$L20)/(1+$M20)^Vectors!$A$3:INDIRECT(CONCATENATE("Vectors!A",MIN($I$12:$I$20)+2)))))</f>
        <v>511483.2874197737</v>
      </c>
      <c r="I29" s="29" cm="1">
        <f t="array" aca="1" ref="I29" ca="1">IF(IF($C20="",IF($D21=0,-$H20+SUMPRODUCT(((Vectors!$C$8*$K$20/100)+$L20+$F21)/(1+$M20)^Vectors!$A$3:INDIRECT(CONCATENATE("Vectors!A",MIN($I$12:$I$20)+2))), -$H20+SUMPRODUCT(((Vectors!$C$8*$K$20/100)+$L20)/(1+$M20)^Vectors!$A$3:INDIRECT(CONCATENATE("Vectors!A",MIN($I$12:$I$20)+2)))+SUMPRODUCT(($D21)/(1+$M20)^Vectors!$A$3:INDIRECT(CONCATENATE("Vectors!A",$E20/12+2)))),$C20-$H20+SUMPRODUCT(((Vectors!$C$8*$K$20/100)+$L20)/(1+$M20)^Vectors!$A$3:INDIRECT(CONCATENATE("Vectors!A",MIN($I$12:$I$20)+2))))=0,"-",IF($C20="",IF($D21=0,-$H20+SUMPRODUCT(((Vectors!$C$8*$K$20/100)+$L20+$F21)/(1+$M20)^Vectors!$A$3:INDIRECT(CONCATENATE("Vectors!A",MIN($I$12:$I$20)+2))), -$H20+SUMPRODUCT(((Vectors!$C$8*$K$20/100)+$L20)/(1+$M20)^Vectors!$A$3:INDIRECT(CONCATENATE("Vectors!A",MIN($I$12:$I$20)+2)))+SUMPRODUCT(($D21)/(1+$M20)^Vectors!$A$3:INDIRECT(CONCATENATE("Vectors!A",$E20/12+2)))),$C20-$H20+SUMPRODUCT(((Vectors!$C$8*$K$20/100)+$L20)/(1+$M20)^Vectors!$A$3:INDIRECT(CONCATENATE("Vectors!A",MIN($I$12:$I$20)+2)))))</f>
        <v>573779.94490372832</v>
      </c>
      <c r="J29" s="29" cm="1">
        <f t="array" aca="1" ref="J29" ca="1">IF(IF($C20="",IF($D21=0,-$H20+SUMPRODUCT(((Vectors!$C$9*$K$20/100)+$L20+$F21)/(1+$M20)^Vectors!$A$3:INDIRECT(CONCATENATE("Vectors!A",MIN($I$12:$I$20)+2))), -$H20+SUMPRODUCT(((Vectors!$C$9*$K$20/100)+$L20)/(1+$M20)^Vectors!$A$3:INDIRECT(CONCATENATE("Vectors!A",MIN($I$12:$I$20)+2)))+SUMPRODUCT(($D21)/(1+$M20)^Vectors!$A$3:INDIRECT(CONCATENATE("Vectors!A",$E20/12+2)))),$C20-$H20+SUMPRODUCT(((Vectors!$C$9*$K$20/100)+$L20)/(1+$M20)^Vectors!$A$3:INDIRECT(CONCATENATE("Vectors!A",MIN($I$12:$I$20)+2))))=0,"-",IF($C20="",IF($D21=0,-$H20+SUMPRODUCT(((Vectors!$C$9*$K$20/100)+$L20+$F21)/(1+$M20)^Vectors!$A$3:INDIRECT(CONCATENATE("Vectors!A",MIN($I$12:$I$20)+2))), -$H20+SUMPRODUCT(((Vectors!$C$9*$K$20/100)+$L20)/(1+$M20)^Vectors!$A$3:INDIRECT(CONCATENATE("Vectors!A",MIN($I$12:$I$20)+2)))+SUMPRODUCT(($D21)/(1+$M20)^Vectors!$A$3:INDIRECT(CONCATENATE("Vectors!A",$E20/12+2)))),$C20-$H20+SUMPRODUCT(((Vectors!$C$9*$K$20/100)+$L20)/(1+$M20)^Vectors!$A$3:INDIRECT(CONCATENATE("Vectors!A",MIN($I$12:$I$20)+2)))))</f>
        <v>636076.602387683</v>
      </c>
      <c r="K29" s="29" cm="1">
        <f t="array" aca="1" ref="K29" ca="1">IF(IF($C20="",IF($D21=0,-$H20+SUMPRODUCT(((Vectors!$C$10*$K$20/100)+$L20+$F21)/(1+$M20)^Vectors!$A$3:INDIRECT(CONCATENATE("Vectors!A",MIN($I$12:$I$20)+2))), -$H20+SUMPRODUCT(((Vectors!$C$10*$K$20/100)+$L20)/(1+$M20)^Vectors!$A$3:INDIRECT(CONCATENATE("Vectors!A",MIN($I$12:$I$20)+2)))+SUMPRODUCT(($D21)/(1+$M20)^Vectors!$A$3:INDIRECT(CONCATENATE("Vectors!A",$E20/12+2)))),$C20-$H20+SUMPRODUCT(((Vectors!$C$10*$K$20/100)+$L20)/(1+$M20)^Vectors!$A$3:INDIRECT(CONCATENATE("Vectors!A",MIN($I$12:$I$20)+2))))=0,"-",IF($C20="",IF($D21=0,-$H20+SUMPRODUCT(((Vectors!$C$10*$K$20/100)+$L20+$F21)/(1+$M20)^Vectors!$A$3:INDIRECT(CONCATENATE("Vectors!A",MIN($I$12:$I$20)+2))), -$H20+SUMPRODUCT(((Vectors!$C$10*$K$20/100)+$L20)/(1+$M20)^Vectors!$A$3:INDIRECT(CONCATENATE("Vectors!A",MIN($I$12:$I$20)+2)))+SUMPRODUCT(($D21)/(1+$M20)^Vectors!$A$3:INDIRECT(CONCATENATE("Vectors!A",$E20/12+2)))),$C20-$H20+SUMPRODUCT(((Vectors!$C$10*$K$20/100)+$L20)/(1+$M20)^Vectors!$A$3:INDIRECT(CONCATENATE("Vectors!A",MIN($I$12:$I$20)+2)))))</f>
        <v>698373.25987163768</v>
      </c>
    </row>
    <row r="50" spans="2:12" x14ac:dyDescent="0.35">
      <c r="B50" s="140" t="s">
        <v>27</v>
      </c>
      <c r="C50" s="141"/>
      <c r="D50" s="141"/>
      <c r="E50" s="141"/>
      <c r="F50" s="141"/>
      <c r="G50" s="141"/>
      <c r="H50" s="141"/>
      <c r="I50" s="141"/>
      <c r="J50" s="141"/>
      <c r="K50" s="141"/>
      <c r="L50" s="142"/>
    </row>
    <row r="51" spans="2:12" x14ac:dyDescent="0.35">
      <c r="B51" s="15" t="s">
        <v>1</v>
      </c>
      <c r="C51" s="15" t="s">
        <v>31</v>
      </c>
      <c r="D51" s="15" t="s">
        <v>28</v>
      </c>
      <c r="E51" s="15" t="str">
        <f>CONCATENATE(Vectors!$C$3," km/any")</f>
        <v>30000 km/any</v>
      </c>
      <c r="F51" s="15" t="str">
        <f>CONCATENATE(Vectors!$C$4," km/any")</f>
        <v>60000 km/any</v>
      </c>
      <c r="G51" s="15" t="str">
        <f>CONCATENATE(Vectors!$C$5," km/any")</f>
        <v>90000 km/any</v>
      </c>
      <c r="H51" s="15" t="str">
        <f>CONCATENATE(Vectors!$C$6," km/any")</f>
        <v>120000 km/any</v>
      </c>
      <c r="I51" s="15" t="str">
        <f>CONCATENATE(Vectors!$C$7," km/any")</f>
        <v>150000 km/any</v>
      </c>
      <c r="J51" s="15" t="str">
        <f>CONCATENATE(Vectors!$C$8," km/any")</f>
        <v>180000 km/any</v>
      </c>
      <c r="K51" s="15" t="str">
        <f>CONCATENATE(Vectors!$C$9," km/any")</f>
        <v>210000 km/any</v>
      </c>
      <c r="L51" s="15" t="str">
        <f>CONCATENATE(Vectors!$C$10," km/any")</f>
        <v>240000 km/any</v>
      </c>
    </row>
    <row r="52" spans="2:12" x14ac:dyDescent="0.35">
      <c r="B52" s="27" t="s">
        <v>29</v>
      </c>
      <c r="C52" s="28" cm="1">
        <f t="array" aca="1" ref="C52" ca="1">IF(C12="",IF(D13=0,SUMPRODUCT(F13/(1+M12)^Vectors!$A$3:INDIRECT(CONCATENATE("Vectors!A",Interurbà!I12+2))) - H12,SUMPRODUCT(D13/(1+M12)^Vectors!$A$3:INDIRECT(CONCATENATE("Vectors!A",Interurbà!E12/12 +2)))-H12),C12-H12)</f>
        <v>95577</v>
      </c>
      <c r="D52" s="28" t="s">
        <v>30</v>
      </c>
      <c r="E52" s="28" t="s">
        <v>30</v>
      </c>
      <c r="F52" s="28" t="s">
        <v>30</v>
      </c>
      <c r="G52" s="28" t="s">
        <v>30</v>
      </c>
      <c r="H52" s="28" t="s">
        <v>30</v>
      </c>
      <c r="I52" s="28" t="s">
        <v>30</v>
      </c>
      <c r="J52" s="28" t="s">
        <v>30</v>
      </c>
      <c r="K52" s="28" t="s">
        <v>30</v>
      </c>
      <c r="L52" s="28" t="s">
        <v>30</v>
      </c>
    </row>
    <row r="53" spans="2:12" x14ac:dyDescent="0.35">
      <c r="B53" s="27" t="s">
        <v>3</v>
      </c>
      <c r="C53" s="28" cm="1">
        <f t="array" aca="1" ref="C53" ca="1">IF(C14="",IF(D15=0,-H14+SUMPRODUCT(F15/(1+M14)^Vectors!$A$3:INDIRECT(CONCATENATE("Vectors!A",Interurbà!I14+2))),-H14+SUMPRODUCT(D15/(1+M14)^Vectors!$A$3:INDIRECT(CONCATENATE("Vectors!A",Interurbà!E14/12 +2)))),C14-H14)</f>
        <v>0</v>
      </c>
      <c r="D53" s="28" t="str">
        <f ca="1">IF(C53&gt;0,$C$52-C53,"-")</f>
        <v>-</v>
      </c>
      <c r="E53" s="30" t="str" cm="1">
        <f t="array" aca="1" ref="E53" ca="1">IF((MATCH(TRUE,Vectors!D26:D47&gt;0,0)-1)&lt;=MIN($I$12,$I$14),(MATCH(TRUE,Vectors!D26:D47&gt;0,0)-1),"NO")</f>
        <v>NO</v>
      </c>
      <c r="F53" s="30" t="str" cm="1">
        <f t="array" aca="1" ref="F53" ca="1">IF((MATCH(TRUE,Vectors!E26:E47&gt;0,0)-1)&lt;=MIN($I$12,$I$14),(MATCH(TRUE,Vectors!E26:E47&gt;0,0)-1),"NO")</f>
        <v>NO</v>
      </c>
      <c r="G53" s="30" t="str" cm="1">
        <f t="array" aca="1" ref="G53" ca="1">IF((MATCH(TRUE,Vectors!F26:F47&gt;0,0)-1)&lt;=MIN($I$12,$I$14),(MATCH(TRUE,Vectors!F26:F47&gt;0,0)-1),"NO")</f>
        <v>NO</v>
      </c>
      <c r="H53" s="30" t="str" cm="1">
        <f t="array" aca="1" ref="H53" ca="1">IF((MATCH(TRUE,Vectors!G26:G47&gt;0,0)-1)&lt;=MIN($I$12,$I$14),(MATCH(TRUE,Vectors!G26:G47&gt;0,0)-1),"NO")</f>
        <v>NO</v>
      </c>
      <c r="I53" s="30" t="str" cm="1">
        <f t="array" aca="1" ref="I53" ca="1">IF((MATCH(TRUE,Vectors!H26:H47&gt;0,0)-1)&lt;=MIN($I$12,$I$14),(MATCH(TRUE,Vectors!H26:H47&gt;0,0)-1),"NO")</f>
        <v>NO</v>
      </c>
      <c r="J53" s="30" t="str" cm="1">
        <f t="array" aca="1" ref="J53" ca="1">IF((MATCH(TRUE,Vectors!I26:I47&gt;0,0)-1)&lt;=MIN($I$12,$I$14),(MATCH(TRUE,Vectors!I26:I47&gt;0,0)-1),"NO")</f>
        <v>NO</v>
      </c>
      <c r="K53" s="30" t="str" cm="1">
        <f t="array" aca="1" ref="K53" ca="1">IF((MATCH(TRUE,Vectors!J26:J47&gt;0,0)-1)&lt;=MIN($I$12,$I$14),(MATCH(TRUE,Vectors!J26:J47&gt;0,0)-1),"NO")</f>
        <v>NO</v>
      </c>
      <c r="L53" s="30" t="str" cm="1">
        <f t="array" aca="1" ref="L53" ca="1">IF((MATCH(TRUE,Vectors!K26:K47&gt;0,0)-1)&lt;=MIN($I$12,$I$14),(MATCH(TRUE,Vectors!K26:K47&gt;0,0)-1),"NO")</f>
        <v>NO</v>
      </c>
    </row>
    <row r="54" spans="2:12" x14ac:dyDescent="0.35">
      <c r="B54" s="27" t="s">
        <v>4</v>
      </c>
      <c r="C54" s="28" cm="1">
        <f t="array" aca="1" ref="C54" ca="1">IF(C16="",IF(D17=0,SUMPRODUCT(F17/(1+M16)^Vectors!$A$3:INDIRECT(CONCATENATE("Vectors!A",Interurbà!I16+2))) - H16, SUMPRODUCT(D17/(1+M16)^Vectors!$A$3:INDIRECT(CONCATENATE("Vectors!A",Interurbà!E16/12 +2)))-H16), C16-H16)</f>
        <v>160000</v>
      </c>
      <c r="D54" s="28">
        <f t="shared" ref="D54:D56" ca="1" si="9">IF(C54&gt;0,$C$52-C54,"-")</f>
        <v>-64423</v>
      </c>
      <c r="E54" s="30" t="str" cm="1">
        <f t="array" aca="1" ref="E54" ca="1">IF((MATCH(TRUE,Vectors!L26:L47&gt;0,0)-1)&lt;=MIN($I$12,$I$16),(MATCH(TRUE,Vectors!L26:L47&gt;0,0)-1),"NO")</f>
        <v>NO</v>
      </c>
      <c r="F54" s="30" cm="1">
        <f t="array" aca="1" ref="F54" ca="1">IF((MATCH(TRUE,Vectors!M26:M47&gt;0,0)-1)&lt;=MIN($I$12,$I$16),(MATCH(TRUE,Vectors!M26:M47&gt;0,0)-1),"NO")</f>
        <v>9</v>
      </c>
      <c r="G54" s="30" cm="1">
        <f t="array" aca="1" ref="G54" ca="1">IF((MATCH(TRUE,Vectors!N26:N47&gt;0,0)-1)&lt;=MIN($I$12,$I$16),(MATCH(TRUE,Vectors!N26:N47&gt;0,0)-1),"NO")</f>
        <v>6</v>
      </c>
      <c r="H54" s="30" cm="1">
        <f t="array" aca="1" ref="H54" ca="1">IF((MATCH(TRUE,Vectors!O26:O47&gt;0,0)-1)&lt;=MIN($I$12,$I$16),(MATCH(TRUE,Vectors!O26:O47&gt;0,0)-1),"NO")</f>
        <v>4</v>
      </c>
      <c r="I54" s="30" cm="1">
        <f t="array" aca="1" ref="I54" ca="1">IF((MATCH(TRUE,Vectors!P26:P47&gt;0,0)-1)&lt;=MIN($I$12,$I$16),(MATCH(TRUE,Vectors!P26:P47&gt;0,0)-1),"NO")</f>
        <v>4</v>
      </c>
      <c r="J54" s="30" cm="1">
        <f t="array" aca="1" ref="J54" ca="1">IF((MATCH(TRUE,Vectors!Q26:Q47&gt;0,0)-1)&lt;=MIN($I$12,$I$16),(MATCH(TRUE,Vectors!Q26:Q47&gt;0,0)-1),"NO")</f>
        <v>3</v>
      </c>
      <c r="K54" s="30" cm="1">
        <f t="array" aca="1" ref="K54" ca="1">IF((MATCH(TRUE,Vectors!R26:R47&gt;0,0)-1)&lt;=MIN($I$12,$I$16),(MATCH(TRUE,Vectors!R26:R47&gt;0,0)-1),"NO")</f>
        <v>3</v>
      </c>
      <c r="L54" s="30" cm="1">
        <f t="array" aca="1" ref="L54" ca="1">IF((MATCH(TRUE,Vectors!S26:S47&gt;0,0)-1)&lt;=MIN($I$12,$I$16),(MATCH(TRUE,Vectors!S26:S47&gt;0,0)-1),"NO")</f>
        <v>2</v>
      </c>
    </row>
    <row r="55" spans="2:12" x14ac:dyDescent="0.35">
      <c r="B55" s="27" t="s">
        <v>5</v>
      </c>
      <c r="C55" s="28" cm="1">
        <f t="array" aca="1" ref="C55" ca="1">IF(C18="",IF(D19=0,SUMPRODUCT(F19/(1+M18)^Vectors!$A$3:INDIRECT(CONCATENATE("Vectors!A",Interurbà!I18+2))) - H18,SUMPRODUCT(D19/(1+M18)^Vectors!$A$3:INDIRECT(CONCATENATE("Vectors!A",Interurbà!E18/12 +2)))-H18),C18-H18)</f>
        <v>0</v>
      </c>
      <c r="D55" s="28" t="str">
        <f t="shared" ca="1" si="9"/>
        <v>-</v>
      </c>
      <c r="E55" s="30" t="str" cm="1">
        <f t="array" aca="1" ref="E55" ca="1">IF((MATCH(TRUE,Vectors!T26:T47&gt;0,0)-1)&lt;=MIN($I$12,$I$18),(MATCH(TRUE,Vectors!T26:T47&gt;0,0)-1),"NO")</f>
        <v>NO</v>
      </c>
      <c r="F55" s="30" t="str" cm="1">
        <f t="array" aca="1" ref="F55" ca="1">IF((MATCH(TRUE,Vectors!U26:U47&gt;0,0)-1)&lt;=MIN($I$12,$I$18),(MATCH(TRUE,Vectors!U26:U47&gt;0,0)-1),"NO")</f>
        <v>NO</v>
      </c>
      <c r="G55" s="30" t="str" cm="1">
        <f t="array" aca="1" ref="G55" ca="1">IF((MATCH(TRUE,Vectors!V26:V47&gt;0,0)-1)&lt;=MIN($I$12,$I$18),(MATCH(TRUE,Vectors!V26:V47&gt;0,0)-1),"NO")</f>
        <v>NO</v>
      </c>
      <c r="H55" s="30" t="str" cm="1">
        <f t="array" aca="1" ref="H55" ca="1">IF((MATCH(TRUE,Vectors!W26:W47&gt;0,0)-1)&lt;=MIN($I$12,$I$18),(MATCH(TRUE,Vectors!W26:W47&gt;0,0)-1),"NO")</f>
        <v>NO</v>
      </c>
      <c r="I55" s="30" t="str" cm="1">
        <f t="array" aca="1" ref="I55" ca="1">IF((MATCH(TRUE,Vectors!X26:X47&gt;0,0)-1)&lt;=MIN($I$12,$I$18),(MATCH(TRUE,Vectors!X26:X47&gt;0,0)-1),"NO")</f>
        <v>NO</v>
      </c>
      <c r="J55" s="30" t="str" cm="1">
        <f t="array" aca="1" ref="J55" ca="1">IF((MATCH(TRUE,Vectors!Y26:Y47&gt;0,0)-1)&lt;=MIN($I$12,$I$18),(MATCH(TRUE,Vectors!Y26:Y47&gt;0,0)-1),"NO")</f>
        <v>NO</v>
      </c>
      <c r="K55" s="30" t="str" cm="1">
        <f t="array" aca="1" ref="K55" ca="1">IF((MATCH(TRUE,Vectors!Z26:Z47&gt;0,0)-1)&lt;=MIN($I$12,$I$18),(MATCH(TRUE,Vectors!Z26:Z47&gt;0,0)-1),"NO")</f>
        <v>NO</v>
      </c>
      <c r="L55" s="30" t="str" cm="1">
        <f t="array" aca="1" ref="L55" ca="1">IF((MATCH(TRUE,Vectors!AA26:AA47&gt;0,0)-1)&lt;=MIN($I$12,$I$18),(MATCH(TRUE,Vectors!AA26:AA47&gt;0,0)-1),"NO")</f>
        <v>NO</v>
      </c>
    </row>
    <row r="56" spans="2:12" x14ac:dyDescent="0.35">
      <c r="B56" s="27" t="s">
        <v>6</v>
      </c>
      <c r="C56" s="28" cm="1">
        <f t="array" aca="1" ref="C56" ca="1">IF(C20="",IF(D21=0,SUMPRODUCT(F21/(1+M20)^Vectors!$A$3:INDIRECT(CONCATENATE("Vectors!A",Interurbà!I20+2))) - H20,SUMPRODUCT(D21/(1+M20)^Vectors!$A$3:INDIRECT(CONCATENATE("Vectors!A",Interurbà!E20/12 +2)))-H20),C20-H20)</f>
        <v>200000</v>
      </c>
      <c r="D56" s="28">
        <f t="shared" ca="1" si="9"/>
        <v>-104423</v>
      </c>
      <c r="E56" s="30" t="str" cm="1">
        <f t="array" aca="1" ref="E56" ca="1">IF((MATCH(TRUE,Vectors!AB26:AB47&gt;0,0)-1)&lt;=MIN($I$12,$I$20),(MATCH(TRUE,Vectors!AB26:AB47&gt;0,0)-1),"NO")</f>
        <v>NO</v>
      </c>
      <c r="F56" s="30" t="str" cm="1">
        <f t="array" aca="1" ref="F56" ca="1">IF((MATCH(TRUE,Vectors!AC26:AC47&gt;0,0)-1)&lt;=MIN($I$12,$I$20),(MATCH(TRUE,Vectors!AC26:AC47&gt;0,0)-1),"NO")</f>
        <v>NO</v>
      </c>
      <c r="G56" s="30" t="str" cm="1">
        <f t="array" aca="1" ref="G56" ca="1">IF((MATCH(TRUE,Vectors!AD26:AD47&gt;0,0)-1)&lt;=MIN($I$12,$I$20),(MATCH(TRUE,Vectors!AD26:AD47&gt;0,0)-1),"NO")</f>
        <v>NO</v>
      </c>
      <c r="H56" s="30" t="str" cm="1">
        <f t="array" aca="1" ref="H56" ca="1">IF((MATCH(TRUE,Vectors!AE26:AE47&gt;0,0)-1)&lt;=MIN($I$12,$I$20),(MATCH(TRUE,Vectors!AE26:AE47&gt;0,0)-1),"NO")</f>
        <v>NO</v>
      </c>
      <c r="I56" s="30" t="str" cm="1">
        <f t="array" aca="1" ref="I56" ca="1">IF((MATCH(TRUE,Vectors!AF26:AF47&gt;0,0)-1)&lt;=MIN($I$12,$I$20),(MATCH(TRUE,Vectors!AF26:AF47&gt;0,0)-1),"NO")</f>
        <v>NO</v>
      </c>
      <c r="J56" s="30" t="str" cm="1">
        <f t="array" aca="1" ref="J56" ca="1">IF((MATCH(TRUE,Vectors!AG26:AG47&gt;0,0)-1)&lt;=MIN($I$12,$I$20),(MATCH(TRUE,Vectors!AG26:AG47&gt;0,0)-1),"NO")</f>
        <v>NO</v>
      </c>
      <c r="K56" s="30" t="str" cm="1">
        <f t="array" aca="1" ref="K56" ca="1">IF((MATCH(TRUE,Vectors!AH26:AH47&gt;0,0)-1)&lt;=MIN($I$12,$I$20),(MATCH(TRUE,Vectors!AH26:AH47&gt;0,0)-1),"NO")</f>
        <v>NO</v>
      </c>
      <c r="L56" s="30" t="str" cm="1">
        <f t="array" aca="1" ref="L56" ca="1">IF((MATCH(TRUE,Vectors!AI26:AI47&gt;0,0)-1)&lt;=MIN($I$12,$I$20),(MATCH(TRUE,Vectors!AI26:AI47&gt;0,0)-1),"NO")</f>
        <v>NO</v>
      </c>
    </row>
  </sheetData>
  <mergeCells count="70">
    <mergeCell ref="N20:N21"/>
    <mergeCell ref="B23:K23"/>
    <mergeCell ref="I20:I21"/>
    <mergeCell ref="J20:J21"/>
    <mergeCell ref="K20:K21"/>
    <mergeCell ref="L20:L21"/>
    <mergeCell ref="M20:M21"/>
    <mergeCell ref="B20:B21"/>
    <mergeCell ref="C20:C21"/>
    <mergeCell ref="E20:E21"/>
    <mergeCell ref="G20:G21"/>
    <mergeCell ref="H20:H21"/>
    <mergeCell ref="N16:N17"/>
    <mergeCell ref="B18:B19"/>
    <mergeCell ref="C18:C19"/>
    <mergeCell ref="E18:E19"/>
    <mergeCell ref="G18:G19"/>
    <mergeCell ref="H18:H19"/>
    <mergeCell ref="I18:I19"/>
    <mergeCell ref="J18:J19"/>
    <mergeCell ref="K18:K19"/>
    <mergeCell ref="L18:L19"/>
    <mergeCell ref="M18:M19"/>
    <mergeCell ref="N18:N19"/>
    <mergeCell ref="I16:I17"/>
    <mergeCell ref="J16:J17"/>
    <mergeCell ref="K16:K17"/>
    <mergeCell ref="L16:L17"/>
    <mergeCell ref="M16:M17"/>
    <mergeCell ref="B16:B17"/>
    <mergeCell ref="C16:C17"/>
    <mergeCell ref="E16:E17"/>
    <mergeCell ref="G16:G17"/>
    <mergeCell ref="H16:H17"/>
    <mergeCell ref="N14:N15"/>
    <mergeCell ref="I12:I13"/>
    <mergeCell ref="J12:J13"/>
    <mergeCell ref="K12:K13"/>
    <mergeCell ref="L12:L13"/>
    <mergeCell ref="I14:I15"/>
    <mergeCell ref="J14:J15"/>
    <mergeCell ref="K14:K15"/>
    <mergeCell ref="L14:L15"/>
    <mergeCell ref="M14:M15"/>
    <mergeCell ref="B14:B15"/>
    <mergeCell ref="C14:C15"/>
    <mergeCell ref="E14:E15"/>
    <mergeCell ref="G14:G15"/>
    <mergeCell ref="H14:H15"/>
    <mergeCell ref="C12:C13"/>
    <mergeCell ref="E12:E13"/>
    <mergeCell ref="G12:G13"/>
    <mergeCell ref="H12:H13"/>
    <mergeCell ref="N12:N13"/>
    <mergeCell ref="B50:L50"/>
    <mergeCell ref="B1:N3"/>
    <mergeCell ref="B9:N9"/>
    <mergeCell ref="B10:B11"/>
    <mergeCell ref="C10:C11"/>
    <mergeCell ref="D10:E10"/>
    <mergeCell ref="F10:G10"/>
    <mergeCell ref="H10:H11"/>
    <mergeCell ref="I10:I11"/>
    <mergeCell ref="J10:J11"/>
    <mergeCell ref="K10:K11"/>
    <mergeCell ref="L10:L11"/>
    <mergeCell ref="M10:M11"/>
    <mergeCell ref="N10:N11"/>
    <mergeCell ref="M12:M13"/>
    <mergeCell ref="B12:B13"/>
  </mergeCells>
  <conditionalFormatting sqref="D52"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2:E56 F53:L56">
    <cfRule type="colorScale" priority="2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52">
    <cfRule type="colorScale" priority="2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52">
    <cfRule type="colorScale" priority="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52"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2">
    <cfRule type="colorScale" priority="2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52">
    <cfRule type="colorScale" priority="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52">
    <cfRule type="colorScale" priority="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52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25:K29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5:C29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25:D29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5:E29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25:F29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G25:G29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25:H29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5:I29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J25:J2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K25:K2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I55"/>
  <sheetViews>
    <sheetView topLeftCell="B1" zoomScale="55" zoomScaleNormal="55" workbookViewId="0">
      <selection activeCell="F30" sqref="F30"/>
    </sheetView>
  </sheetViews>
  <sheetFormatPr baseColWidth="10" defaultRowHeight="14.5" x14ac:dyDescent="0.35"/>
  <cols>
    <col min="1" max="1" width="13.36328125" bestFit="1" customWidth="1"/>
    <col min="2" max="2" width="30.453125" bestFit="1" customWidth="1"/>
    <col min="3" max="3" width="34.81640625" bestFit="1" customWidth="1"/>
    <col min="4" max="4" width="33.54296875" bestFit="1" customWidth="1"/>
    <col min="5" max="6" width="33.90625" bestFit="1" customWidth="1"/>
    <col min="7" max="11" width="34.453125" bestFit="1" customWidth="1"/>
    <col min="12" max="14" width="29.81640625" bestFit="1" customWidth="1"/>
    <col min="15" max="19" width="30.90625" bestFit="1" customWidth="1"/>
    <col min="20" max="22" width="32.1796875" bestFit="1" customWidth="1"/>
    <col min="23" max="27" width="33.08984375" bestFit="1" customWidth="1"/>
    <col min="28" max="30" width="35" bestFit="1" customWidth="1"/>
    <col min="31" max="35" width="36" bestFit="1" customWidth="1"/>
  </cols>
  <sheetData>
    <row r="1" spans="1:35" x14ac:dyDescent="0.35">
      <c r="A1" t="s">
        <v>12</v>
      </c>
      <c r="B1" t="s">
        <v>13</v>
      </c>
      <c r="C1" t="s">
        <v>14</v>
      </c>
      <c r="D1" s="4" t="str">
        <f>CONCATENATE("Diferència elèctric urbà ",Vectors!$B$3," KM")</f>
        <v>Diferència elèctric urbà 12500 KM</v>
      </c>
      <c r="E1" s="4" t="str">
        <f>CONCATENATE("Diferència elèctric urbà ",Vectors!$B$4," KM")</f>
        <v>Diferència elèctric urbà 25000 KM</v>
      </c>
      <c r="F1" s="4" t="str">
        <f>CONCATENATE("Diferència elèctric urbà ",Vectors!$B$5," KM")</f>
        <v>Diferència elèctric urbà 37500 KM</v>
      </c>
      <c r="G1" s="4" t="str">
        <f>CONCATENATE("Diferència elèctric urbà ",Vectors!$B$6," KM")</f>
        <v>Diferència elèctric urbà 50000 KM</v>
      </c>
      <c r="H1" s="4" t="str">
        <f>CONCATENATE("Diferència elèctric urbà ",Vectors!$B$7," KM")</f>
        <v>Diferència elèctric urbà 62500 KM</v>
      </c>
      <c r="I1" s="4" t="str">
        <f>CONCATENATE("Diferència elèctric urbà ",Vectors!$B$8," KM")</f>
        <v>Diferència elèctric urbà 75000 KM</v>
      </c>
      <c r="J1" s="4" t="str">
        <f>CONCATENATE("Diferència elèctric urbà ",Vectors!$B$9," KM")</f>
        <v>Diferència elèctric urbà 87500 KM</v>
      </c>
      <c r="K1" s="4" t="str">
        <f>CONCATENATE("Diferència elèctric urbà ",Vectors!$B$10," KM")</f>
        <v>Diferència elèctric urbà 100000 KM</v>
      </c>
      <c r="L1" s="2" t="str">
        <f>CONCATENATE("Diferència gas urbà ",Vectors!$B$3," KM")</f>
        <v>Diferència gas urbà 12500 KM</v>
      </c>
      <c r="M1" s="2" t="str">
        <f>CONCATENATE("Diferència gas urbà ",Vectors!$B$4," KM")</f>
        <v>Diferència gas urbà 25000 KM</v>
      </c>
      <c r="N1" s="2" t="str">
        <f>CONCATENATE("Diferència gas urbà ",Vectors!$B$5," KM")</f>
        <v>Diferència gas urbà 37500 KM</v>
      </c>
      <c r="O1" s="2" t="str">
        <f>CONCATENATE("Diferència gas urbà ",Vectors!$B$6," KM")</f>
        <v>Diferència gas urbà 50000 KM</v>
      </c>
      <c r="P1" s="2" t="str">
        <f>CONCATENATE("Diferència gas urbà ",Vectors!$B$7," KM")</f>
        <v>Diferència gas urbà 62500 KM</v>
      </c>
      <c r="Q1" s="2" t="str">
        <f>CONCATENATE("Diferència gas urbà ",Vectors!$B$8," KM")</f>
        <v>Diferència gas urbà 75000 KM</v>
      </c>
      <c r="R1" s="2" t="str">
        <f>CONCATENATE("Diferència gas urbà ",Vectors!$B$9," KM")</f>
        <v>Diferència gas urbà 87500 KM</v>
      </c>
      <c r="S1" s="2" t="str">
        <f>CONCATENATE("Diferència gas urbà ",Vectors!$B$10," KM")</f>
        <v>Diferència gas urbà 100000 KM</v>
      </c>
      <c r="T1" s="5" t="str">
        <f>CONCATENATE("Diferència híbrid urbà ",Vectors!$B$3," KM")</f>
        <v>Diferència híbrid urbà 12500 KM</v>
      </c>
      <c r="U1" s="5" t="str">
        <f>CONCATENATE("Diferència híbrid urbà ",Vectors!$B$4," KM")</f>
        <v>Diferència híbrid urbà 25000 KM</v>
      </c>
      <c r="V1" s="5" t="str">
        <f>CONCATENATE("Diferència híbrid urbà ",Vectors!$B$5," KM")</f>
        <v>Diferència híbrid urbà 37500 KM</v>
      </c>
      <c r="W1" s="5" t="str">
        <f>CONCATENATE("Diferència híbrid urbà ",Vectors!$B$6," KM")</f>
        <v>Diferència híbrid urbà 50000 KM</v>
      </c>
      <c r="X1" s="5" t="str">
        <f>CONCATENATE("Diferència híbrid urbà ",Vectors!$B$7," KM")</f>
        <v>Diferència híbrid urbà 62500 KM</v>
      </c>
      <c r="Y1" s="5" t="str">
        <f>CONCATENATE("Diferència híbrid urbà ",Vectors!$B$8," KM")</f>
        <v>Diferència híbrid urbà 75000 KM</v>
      </c>
      <c r="Z1" s="5" t="str">
        <f>CONCATENATE("Diferència híbrid urbà ",Vectors!$B$9," KM")</f>
        <v>Diferència híbrid urbà 87500 KM</v>
      </c>
      <c r="AA1" s="5" t="str">
        <f>CONCATENATE("Diferència híbrid urbà ",Vectors!$B$10," KM")</f>
        <v>Diferència híbrid urbà 100000 KM</v>
      </c>
      <c r="AB1" s="6" t="str">
        <f>CONCATENATE("Diferència hidrogen urbà ",Vectors!$B$3," KM")</f>
        <v>Diferència hidrogen urbà 12500 KM</v>
      </c>
      <c r="AC1" s="6" t="str">
        <f>CONCATENATE("Diferència hidrogen urbà ",Vectors!$B$4," KM")</f>
        <v>Diferència hidrogen urbà 25000 KM</v>
      </c>
      <c r="AD1" s="6" t="str">
        <f>CONCATENATE("Diferència hidrogen urbà ",Vectors!$B$5," KM")</f>
        <v>Diferència hidrogen urbà 37500 KM</v>
      </c>
      <c r="AE1" s="6" t="str">
        <f>CONCATENATE("Diferència hidrogen urbà ",Vectors!$B$6," KM")</f>
        <v>Diferència hidrogen urbà 50000 KM</v>
      </c>
      <c r="AF1" s="6" t="str">
        <f>CONCATENATE("Diferència hidrogen urbà ",Vectors!$B$7," KM")</f>
        <v>Diferència hidrogen urbà 62500 KM</v>
      </c>
      <c r="AG1" s="6" t="str">
        <f>CONCATENATE("Diferència hidrogen urbà ",Vectors!$B$8," KM")</f>
        <v>Diferència hidrogen urbà 75000 KM</v>
      </c>
      <c r="AH1" s="6" t="str">
        <f>CONCATENATE("Diferència hidrogen urbà ",Vectors!$B$9," KM")</f>
        <v>Diferència hidrogen urbà 87500 KM</v>
      </c>
      <c r="AI1" s="6" t="str">
        <f>CONCATENATE("Diferència hidrogen urbà ",Vectors!$B$10," KM")</f>
        <v>Diferència hidrogen urbà 100000 KM</v>
      </c>
    </row>
    <row r="2" spans="1:35" x14ac:dyDescent="0.35">
      <c r="A2">
        <v>0</v>
      </c>
      <c r="B2">
        <v>0</v>
      </c>
      <c r="C2">
        <v>0</v>
      </c>
      <c r="D2">
        <f ca="1">($B$32+($B$2/100)*$B$26)/(1+Urbà!$M$12)^$A$2+Urbà!$D$53</f>
        <v>-37463.479999999996</v>
      </c>
      <c r="E2">
        <f ca="1">($B$32+($B$2/100)*$B$26)/(1+Urbà!$M$12)^$A$2+Urbà!$D$53</f>
        <v>-37463.479999999996</v>
      </c>
      <c r="F2">
        <f ca="1">($B$32+($B$2/100)*$B$26)/(1+Urbà!$M$12)^$A$2+Urbà!$D$53</f>
        <v>-37463.479999999996</v>
      </c>
      <c r="G2">
        <f ca="1">($B$32+($B$2/100)*$B$26)/(1+Urbà!$M$12)^$A$2+Urbà!$D$53</f>
        <v>-37463.479999999996</v>
      </c>
      <c r="H2">
        <f ca="1">($B$32+($B$2/100)*$B$26)/(1+Urbà!$M$12)^$A$2+Urbà!$D$53</f>
        <v>-37463.479999999996</v>
      </c>
      <c r="I2">
        <f ca="1">($B$32+($B$2/100)*$B$26)/(1+Urbà!$M$12)^$A$2+Urbà!$D$53</f>
        <v>-37463.479999999996</v>
      </c>
      <c r="J2">
        <f ca="1">($B$32+($B$2/100)*$B$26)/(1+Urbà!$M$12)^$A$2+Urbà!$D$53</f>
        <v>-37463.479999999996</v>
      </c>
      <c r="K2">
        <f ca="1">($B$32+($B$2/100)*$B$26)/(1+Urbà!$M$12)^$A$2+Urbà!$D$53</f>
        <v>-37463.479999999996</v>
      </c>
      <c r="L2">
        <f ca="1">($B$33+($B$2/100)*$B$27)/(1+Urbà!$M$12)^$A$2+Urbà!$D$54</f>
        <v>-1143.4799999999996</v>
      </c>
      <c r="M2">
        <f ca="1">($B$33+($B$2/100)*$B$27)/(1+Urbà!$M$12)^$A$2+Urbà!$D$54</f>
        <v>-1143.4799999999996</v>
      </c>
      <c r="N2">
        <f ca="1">($B$33+($B$2/100)*$B$27)/(1+Urbà!$M$12)^$A$2+Urbà!$D$54</f>
        <v>-1143.4799999999996</v>
      </c>
      <c r="O2">
        <f ca="1">($B$33+($B$2/100)*$B$27)/(1+Urbà!$M$12)^$A$2+Urbà!$D$54</f>
        <v>-1143.4799999999996</v>
      </c>
      <c r="P2">
        <f ca="1">($B$33+($B$2/100)*$B$27)/(1+Urbà!$M$12)^$A$2+Urbà!$D$54</f>
        <v>-1143.4799999999996</v>
      </c>
      <c r="Q2">
        <f ca="1">($B$33+($B$2/100)*$B$27)/(1+Urbà!$M$12)^$A$2+Urbà!$D$54</f>
        <v>-1143.4799999999996</v>
      </c>
      <c r="R2">
        <f ca="1">($B$33+($B$2/100)*$B$27)/(1+Urbà!$M$12)^$A$2+Urbà!$D$54</f>
        <v>-1143.4799999999996</v>
      </c>
      <c r="S2">
        <f ca="1">($B$33+($B$2/100)*$B$27)/(1+Urbà!$M$12)^$A$2+Urbà!$D$54</f>
        <v>-1143.4799999999996</v>
      </c>
      <c r="T2">
        <f ca="1">($B$34+($B$2/100)*$B$28)/(1+Urbà!$M$12)^$A$2+Urbà!$D$55</f>
        <v>-12261.48</v>
      </c>
      <c r="U2">
        <f ca="1">($B$34+($B$2/100)*$B$28)/(1+Urbà!$M$12)^$A$2+Urbà!$D$55</f>
        <v>-12261.48</v>
      </c>
      <c r="V2">
        <f ca="1">($B$34+($B$2/100)*$B$28)/(1+Urbà!$M$12)^$A$2+Urbà!$D$55</f>
        <v>-12261.48</v>
      </c>
      <c r="W2">
        <f ca="1">($B$34+($B$2/100)*$B$28)/(1+Urbà!$M$12)^$A$2+Urbà!$D$55</f>
        <v>-12261.48</v>
      </c>
      <c r="X2">
        <f ca="1">($B$34+($B$2/100)*$B$28)/(1+Urbà!$M$12)^$A$2+Urbà!$D$55</f>
        <v>-12261.48</v>
      </c>
      <c r="Y2">
        <f ca="1">($B$34+($B$2/100)*$B$28)/(1+Urbà!$M$12)^$A$2+Urbà!$D$55</f>
        <v>-12261.48</v>
      </c>
      <c r="Z2">
        <f ca="1">($B$34+($B$2/100)*$B$28)/(1+Urbà!$M$12)^$A$2+Urbà!$D$55</f>
        <v>-12261.48</v>
      </c>
      <c r="AA2">
        <f ca="1">($B$34+($B$2/100)*$B$28)/(1+Urbà!$M$12)^$A$2+Urbà!$D$55</f>
        <v>-12261.48</v>
      </c>
      <c r="AB2">
        <f ca="1">($B$35+($B$2/100)*$B$29)/(1+Urbà!$M$12)^$A$2+Urbà!$D$56</f>
        <v>-24443.48</v>
      </c>
      <c r="AC2">
        <f ca="1">($B$35+($B$2/100)*$B$29)/(1+Urbà!$M$12)^$A$2+Urbà!$D$56</f>
        <v>-24443.48</v>
      </c>
      <c r="AD2">
        <f ca="1">($B$35+($B$2/100)*$B$29)/(1+Urbà!$M$12)^$A$2+Urbà!$D$56</f>
        <v>-24443.48</v>
      </c>
      <c r="AE2">
        <f ca="1">($B$35+($B$2/100)*$B$29)/(1+Urbà!$M$12)^$A$2+Urbà!$D$56</f>
        <v>-24443.48</v>
      </c>
      <c r="AF2">
        <f ca="1">($B$35+($B$2/100)*$B$29)/(1+Urbà!$M$12)^$A$2+Urbà!$D$56</f>
        <v>-24443.48</v>
      </c>
      <c r="AG2">
        <f ca="1">($B$35+($B$2/100)*$B$29)/(1+Urbà!$M$12)^$A$2+Urbà!$D$56</f>
        <v>-24443.48</v>
      </c>
      <c r="AH2">
        <f ca="1">($B$35+($B$2/100)*$B$29)/(1+Urbà!$M$12)^$A$2+Urbà!$D$56</f>
        <v>-24443.48</v>
      </c>
      <c r="AI2">
        <f ca="1">($B$35+($B$2/100)*$B$29)/(1+Urbà!$M$12)^$A$2+Urbà!$D$56</f>
        <v>-24443.48</v>
      </c>
    </row>
    <row r="3" spans="1:35" x14ac:dyDescent="0.35">
      <c r="A3">
        <v>1</v>
      </c>
      <c r="B3">
        <f>ROUND((Urbà!$J$12/4)*A3,0)</f>
        <v>12500</v>
      </c>
      <c r="C3">
        <f>ROUND((Interurbà!$J$12/4)*A3,0)</f>
        <v>30000</v>
      </c>
      <c r="D3">
        <f ca="1">($B$32+($B$3/100)*$B$26)/(1+Urbà!$M$12)^A3+D2</f>
        <v>-36503.528543689317</v>
      </c>
      <c r="E3">
        <f ca="1">($B$32+($B$4/100)*$B$26)/(1+Urbà!$M$12)^A3+E2</f>
        <v>-35543.577087378639</v>
      </c>
      <c r="F3">
        <f ca="1">($B$32+($B$5/100)*$B$26)/(1+Urbà!$M$12)^A3+F2</f>
        <v>-34583.62563106796</v>
      </c>
      <c r="G3">
        <f ca="1">($B$32+($B$6/100)*$B$26)/(1+Urbà!$M$12)^A3+G2</f>
        <v>-33623.674174757281</v>
      </c>
      <c r="H3">
        <f ca="1">($B$32+($B$7/100)*$B$26)/(1+Urbà!$M$12)^A3+H2</f>
        <v>-32663.722718446599</v>
      </c>
      <c r="I3">
        <f ca="1">($B$32+($B$8/100)*$B$26)/(1+Urbà!$M$12)^A3+I2</f>
        <v>-31703.771262135917</v>
      </c>
      <c r="J3">
        <f ca="1">($B$32+($B$9/100)*$B$26)/(1+Urbà!$M$12)^A3+J2</f>
        <v>-30743.819805825238</v>
      </c>
      <c r="K3">
        <f ca="1">($B$32+($B$10/100)*$B$26)/(1+Urbà!$M$12)^A3+K2</f>
        <v>-29783.86834951456</v>
      </c>
      <c r="L3">
        <f ca="1">($B$33+($B$3/100)*$B$27)/(1+Urbà!$M$12)^A3+L2</f>
        <v>-334.0139805825238</v>
      </c>
      <c r="M3">
        <f ca="1">($B$33+($B$4/100)*$B$27)/(1+Urbà!$M$12)^A3+M2</f>
        <v>475.45203883495196</v>
      </c>
      <c r="N3">
        <f ca="1">($B$33+($B$5/100)*$B$27)/(1+Urbà!$M$12)^A3+N2</f>
        <v>1284.9180582524277</v>
      </c>
      <c r="O3">
        <f ca="1">($B$33+($B$6/100)*$B$27)/(1+Urbà!$M$12)^A3+O2</f>
        <v>2094.3840776699035</v>
      </c>
      <c r="P3">
        <f ca="1">($B$33+($B$7/100)*$B$27)/(1+Urbà!$M$12)^A3+P2</f>
        <v>2903.8500970873788</v>
      </c>
      <c r="Q3">
        <f ca="1">($B$33+($B$8/100)*$B$27)/(1+Urbà!$M$12)^A3+Q2</f>
        <v>3713.316116504855</v>
      </c>
      <c r="R3">
        <f ca="1">($B$33+($B$9/100)*$B$27)/(1+Urbà!$M$12)^A3+R2</f>
        <v>4522.7821359223308</v>
      </c>
      <c r="S3">
        <f ca="1">($B$33+($B$10/100)*$B$27)/(1+Urbà!$M$12)^A3+S2</f>
        <v>5332.2481553398065</v>
      </c>
      <c r="T3">
        <f ca="1">($B$34+($B$3/100)*$B$28)/(1+Urbà!$M$12)^A3+T2</f>
        <v>-12073.797961165048</v>
      </c>
      <c r="U3">
        <f ca="1">($B$34+($B$4/100)*$B$28)/(1+Urbà!$M$12)^A3+U2</f>
        <v>-11886.115922330097</v>
      </c>
      <c r="V3">
        <f ca="1">($B$34+($B$5/100)*$B$28)/(1+Urbà!$M$12)^A3+V2</f>
        <v>-11698.433883495145</v>
      </c>
      <c r="W3">
        <f ca="1">($B$34+($B$6/100)*$B$28)/(1+Urbà!$M$12)^A3+W2</f>
        <v>-11510.751844660193</v>
      </c>
      <c r="X3">
        <f ca="1">($B$34+($B$7/100)*$B$28)/(1+Urbà!$M$12)^A3+X2</f>
        <v>-11323.069805825242</v>
      </c>
      <c r="Y3">
        <f ca="1">($B$34+($B$8/100)*$B$28)/(1+Urbà!$M$12)^A3+Y2</f>
        <v>-11135.38776699029</v>
      </c>
      <c r="Z3">
        <f ca="1">($B$34+($B$9/100)*$B$28)/(1+Urbà!$M$12)^A3+Z2</f>
        <v>-10947.705728155339</v>
      </c>
      <c r="AA3">
        <f ca="1">($B$34+($B$10/100)*$B$28)/(1+Urbà!$M$12)^A3+AA2</f>
        <v>-10760.023689320387</v>
      </c>
      <c r="AB3">
        <f ca="1">($B$35+($B$3/100)*$B$29)/(1+Urbà!$M$12)^A3+AB2</f>
        <v>-24163.140194174757</v>
      </c>
      <c r="AC3">
        <f ca="1">($B$35+($B$4/100)*$B$29)/(1+Urbà!$M$12)^A3+AC2</f>
        <v>-23882.800388349515</v>
      </c>
      <c r="AD3">
        <f ca="1">($B$35+($B$5/100)*$B$29)/(1+Urbà!$M$12)^A3+AD2</f>
        <v>-23602.460582524272</v>
      </c>
      <c r="AE3">
        <f ca="1">($B$35+($B$6/100)*$B$29)/(1+Urbà!$M$12)^A3+AE2</f>
        <v>-23322.12077669903</v>
      </c>
      <c r="AF3">
        <f ca="1">($B$35+($B$7/100)*$B$29)/(1+Urbà!$M$12)^A3+AF2</f>
        <v>-23041.780970873784</v>
      </c>
      <c r="AG3">
        <f ca="1">($B$35+($B$8/100)*$B$29)/(1+Urbà!$M$12)^A3+AG2</f>
        <v>-22761.441165048542</v>
      </c>
      <c r="AH3">
        <f ca="1">($B$35+($B$9/100)*$B$29)/(1+Urbà!$M$12)^A3+AH2</f>
        <v>-22481.101359223299</v>
      </c>
      <c r="AI3">
        <f ca="1">($B$35+($B$10/100)*$B$29)/(1+Urbà!$M$12)^A3+AI2</f>
        <v>-22200.761553398057</v>
      </c>
    </row>
    <row r="4" spans="1:35" x14ac:dyDescent="0.35">
      <c r="A4">
        <v>2</v>
      </c>
      <c r="B4">
        <f>ROUND((Urbà!$J$12/4)*A4,0)</f>
        <v>25000</v>
      </c>
      <c r="C4">
        <f>ROUND((Interurbà!$J$12/4)*A4,0)</f>
        <v>60000</v>
      </c>
      <c r="D4">
        <f ca="1">($B$32+($B$3/100)*$B$26)/(1+Urbà!$M$12)^A4+D3</f>
        <v>-35571.53683853332</v>
      </c>
      <c r="E4">
        <f ca="1">($B$32+($B$4/100)*$B$26)/(1+Urbà!$M$12)^A4+E3</f>
        <v>-33679.593677066638</v>
      </c>
      <c r="F4">
        <f ca="1">($B$32+($B$5/100)*$B$26)/(1+Urbà!$M$12)^A4+F3</f>
        <v>-31787.650515599962</v>
      </c>
      <c r="G4">
        <f ca="1">($B$32+($B$6/100)*$B$26)/(1+Urbà!$M$12)^A4+G3</f>
        <v>-29895.707354133283</v>
      </c>
      <c r="H4">
        <f ca="1">($B$32+($B$7/100)*$B$26)/(1+Urbà!$M$12)^A4+H3</f>
        <v>-28003.7641926666</v>
      </c>
      <c r="I4">
        <f ca="1">($B$32+($B$8/100)*$B$26)/(1+Urbà!$M$12)^A4+I3</f>
        <v>-26111.821031199921</v>
      </c>
      <c r="J4">
        <f ca="1">($B$32+($B$9/100)*$B$26)/(1+Urbà!$M$12)^A4+J3</f>
        <v>-24219.877869733242</v>
      </c>
      <c r="K4">
        <f ca="1">($B$32+($B$10/100)*$B$26)/(1+Urbà!$M$12)^A4+K3</f>
        <v>-22327.934708266563</v>
      </c>
      <c r="L4">
        <f ca="1">($B$33+($B$3/100)*$B$27)/(1+Urbà!$M$12)^A4+L3</f>
        <v>451.87535865774396</v>
      </c>
      <c r="M4">
        <f ca="1">($B$33+($B$4/100)*$B$27)/(1+Urbà!$M$12)^A4+M3</f>
        <v>2047.2307173154875</v>
      </c>
      <c r="N4">
        <f ca="1">($B$33+($B$5/100)*$B$27)/(1+Urbà!$M$12)^A4+N3</f>
        <v>3642.5860759732309</v>
      </c>
      <c r="O4">
        <f ca="1">($B$33+($B$6/100)*$B$27)/(1+Urbà!$M$12)^A4+O3</f>
        <v>5237.941434630975</v>
      </c>
      <c r="P4">
        <f ca="1">($B$33+($B$7/100)*$B$27)/(1+Urbà!$M$12)^A4+P3</f>
        <v>6833.2967932887168</v>
      </c>
      <c r="Q4">
        <f ca="1">($B$33+($B$8/100)*$B$27)/(1+Urbà!$M$12)^A4+Q3</f>
        <v>8428.6521519464623</v>
      </c>
      <c r="R4">
        <f ca="1">($B$33+($B$9/100)*$B$27)/(1+Urbà!$M$12)^A4+R3</f>
        <v>10024.007510604206</v>
      </c>
      <c r="S4">
        <f ca="1">($B$33+($B$10/100)*$B$27)/(1+Urbà!$M$12)^A4+S3</f>
        <v>11619.36286926195</v>
      </c>
      <c r="T4">
        <f ca="1">($B$34+($B$3/100)*$B$28)/(1+Urbà!$M$12)^A4+T3</f>
        <v>-11891.582389480629</v>
      </c>
      <c r="U4">
        <f ca="1">($B$34+($B$4/100)*$B$28)/(1+Urbà!$M$12)^A4+U3</f>
        <v>-11521.684778961258</v>
      </c>
      <c r="V4">
        <f ca="1">($B$34+($B$5/100)*$B$28)/(1+Urbà!$M$12)^A4+V3</f>
        <v>-11151.787168441888</v>
      </c>
      <c r="W4">
        <f ca="1">($B$34+($B$6/100)*$B$28)/(1+Urbà!$M$12)^A4+W3</f>
        <v>-10781.889557922517</v>
      </c>
      <c r="X4">
        <f ca="1">($B$34+($B$7/100)*$B$28)/(1+Urbà!$M$12)^A4+X3</f>
        <v>-10411.991947403147</v>
      </c>
      <c r="Y4">
        <f ca="1">($B$34+($B$8/100)*$B$28)/(1+Urbà!$M$12)^A4+Y3</f>
        <v>-10042.094336883776</v>
      </c>
      <c r="Z4">
        <f ca="1">($B$34+($B$9/100)*$B$28)/(1+Urbà!$M$12)^A4+Z3</f>
        <v>-9672.1967263644074</v>
      </c>
      <c r="AA4">
        <f ca="1">($B$34+($B$10/100)*$B$28)/(1+Urbà!$M$12)^A4+AA3</f>
        <v>-9302.2991158450368</v>
      </c>
      <c r="AB4">
        <f ca="1">($B$35+($B$3/100)*$B$29)/(1+Urbà!$M$12)^A4+AB3</f>
        <v>-23890.965625412384</v>
      </c>
      <c r="AC4">
        <f ca="1">($B$35+($B$4/100)*$B$29)/(1+Urbà!$M$12)^A4+AC3</f>
        <v>-23338.451250824772</v>
      </c>
      <c r="AD4">
        <f ca="1">($B$35+($B$5/100)*$B$29)/(1+Urbà!$M$12)^A4+AD3</f>
        <v>-22785.936876237156</v>
      </c>
      <c r="AE4">
        <f ca="1">($B$35+($B$6/100)*$B$29)/(1+Urbà!$M$12)^A4+AE3</f>
        <v>-22233.422501649544</v>
      </c>
      <c r="AF4">
        <f ca="1">($B$35+($B$7/100)*$B$29)/(1+Urbà!$M$12)^A4+AF3</f>
        <v>-21680.908127061924</v>
      </c>
      <c r="AG4">
        <f ca="1">($B$35+($B$8/100)*$B$29)/(1+Urbà!$M$12)^A4+AG3</f>
        <v>-21128.393752474312</v>
      </c>
      <c r="AH4">
        <f ca="1">($B$35+($B$9/100)*$B$29)/(1+Urbà!$M$12)^A4+AH3</f>
        <v>-20575.879377886697</v>
      </c>
      <c r="AI4">
        <f ca="1">($B$35+($B$10/100)*$B$29)/(1+Urbà!$M$12)^A4+AI3</f>
        <v>-20023.365003299084</v>
      </c>
    </row>
    <row r="5" spans="1:35" x14ac:dyDescent="0.35">
      <c r="A5">
        <v>3</v>
      </c>
      <c r="B5">
        <f>ROUND((Urbà!$J$12/4)*A5,0)</f>
        <v>37500</v>
      </c>
      <c r="C5">
        <f>ROUND((Interurbà!$J$12/4)*A5,0)</f>
        <v>90000</v>
      </c>
      <c r="D5">
        <f ca="1">($B$32+($B$3/100)*$B$26)/(1+Urbà!$M$12)^A5+D4</f>
        <v>-34666.690522847886</v>
      </c>
      <c r="E5">
        <f ca="1">($B$32+($B$4/100)*$B$26)/(1+Urbà!$M$12)^A5+E4</f>
        <v>-31869.901045695766</v>
      </c>
      <c r="F5">
        <f ca="1">($B$32+($B$5/100)*$B$26)/(1+Urbà!$M$12)^A5+F4</f>
        <v>-29073.111568543653</v>
      </c>
      <c r="G5">
        <f ca="1">($B$32+($B$6/100)*$B$26)/(1+Urbà!$M$12)^A5+G4</f>
        <v>-26276.322091391536</v>
      </c>
      <c r="H5">
        <f ca="1">($B$32+($B$7/100)*$B$26)/(1+Urbà!$M$12)^A5+H4</f>
        <v>-23479.532614239419</v>
      </c>
      <c r="I5">
        <f ca="1">($B$32+($B$8/100)*$B$26)/(1+Urbà!$M$12)^A5+I4</f>
        <v>-20682.743137087302</v>
      </c>
      <c r="J5">
        <f ca="1">($B$32+($B$9/100)*$B$26)/(1+Urbà!$M$12)^A5+J4</f>
        <v>-17885.953659935185</v>
      </c>
      <c r="K5">
        <f ca="1">($B$32+($B$10/100)*$B$26)/(1+Urbà!$M$12)^A5+K4</f>
        <v>-15089.164182783072</v>
      </c>
      <c r="L5">
        <f ca="1">($B$33+($B$3/100)*$B$27)/(1+Urbà!$M$12)^A5+L4</f>
        <v>1214.8747171434406</v>
      </c>
      <c r="M5">
        <f ca="1">($B$33+($B$4/100)*$B$27)/(1+Urbà!$M$12)^A5+M4</f>
        <v>3573.2294342868809</v>
      </c>
      <c r="N5">
        <f ca="1">($B$33+($B$5/100)*$B$27)/(1+Urbà!$M$12)^A5+N4</f>
        <v>5931.5841514303211</v>
      </c>
      <c r="O5">
        <f ca="1">($B$33+($B$6/100)*$B$27)/(1+Urbà!$M$12)^A5+O4</f>
        <v>8289.9388685737613</v>
      </c>
      <c r="P5">
        <f ca="1">($B$33+($B$7/100)*$B$27)/(1+Urbà!$M$12)^A5+P4</f>
        <v>10648.293585717201</v>
      </c>
      <c r="Q5">
        <f ca="1">($B$33+($B$8/100)*$B$27)/(1+Urbà!$M$12)^A5+Q4</f>
        <v>13006.648302860642</v>
      </c>
      <c r="R5">
        <f ca="1">($B$33+($B$9/100)*$B$27)/(1+Urbà!$M$12)^A5+R4</f>
        <v>15365.003020004084</v>
      </c>
      <c r="S5">
        <f ca="1">($B$33+($B$10/100)*$B$27)/(1+Urbà!$M$12)^A5+S4</f>
        <v>17723.357737147526</v>
      </c>
      <c r="T5">
        <f ca="1">($B$34+($B$3/100)*$B$28)/(1+Urbà!$M$12)^A5+T4</f>
        <v>-11714.674067456921</v>
      </c>
      <c r="U5">
        <f ca="1">($B$34+($B$4/100)*$B$28)/(1+Urbà!$M$12)^A5+U4</f>
        <v>-11167.868134913842</v>
      </c>
      <c r="V5">
        <f ca="1">($B$34+($B$5/100)*$B$28)/(1+Urbà!$M$12)^A5+V4</f>
        <v>-10621.062202370766</v>
      </c>
      <c r="W5">
        <f ca="1">($B$34+($B$6/100)*$B$28)/(1+Urbà!$M$12)^A5+W4</f>
        <v>-10074.256269827687</v>
      </c>
      <c r="X5">
        <f ca="1">($B$34+($B$7/100)*$B$28)/(1+Urbà!$M$12)^A5+X4</f>
        <v>-9527.4503372846084</v>
      </c>
      <c r="Y5">
        <f ca="1">($B$34+($B$8/100)*$B$28)/(1+Urbà!$M$12)^A5+Y4</f>
        <v>-8980.6444047415298</v>
      </c>
      <c r="Z5">
        <f ca="1">($B$34+($B$9/100)*$B$28)/(1+Urbà!$M$12)^A5+Z4</f>
        <v>-8433.838472198453</v>
      </c>
      <c r="AA5">
        <f ca="1">($B$34+($B$10/100)*$B$28)/(1+Urbà!$M$12)^A5+AA4</f>
        <v>-7887.0325396553753</v>
      </c>
      <c r="AB5">
        <f ca="1">($B$35+($B$3/100)*$B$29)/(1+Urbà!$M$12)^A5+AB4</f>
        <v>-23626.718471274158</v>
      </c>
      <c r="AC5">
        <f ca="1">($B$35+($B$4/100)*$B$29)/(1+Urbà!$M$12)^A5+AC4</f>
        <v>-22809.956942548321</v>
      </c>
      <c r="AD5">
        <f ca="1">($B$35+($B$5/100)*$B$29)/(1+Urbà!$M$12)^A5+AD4</f>
        <v>-21993.195413822483</v>
      </c>
      <c r="AE5">
        <f ca="1">($B$35+($B$6/100)*$B$29)/(1+Urbà!$M$12)^A5+AE4</f>
        <v>-21176.433885096645</v>
      </c>
      <c r="AF5">
        <f ca="1">($B$35+($B$7/100)*$B$29)/(1+Urbà!$M$12)^A5+AF4</f>
        <v>-20359.6723563708</v>
      </c>
      <c r="AG5">
        <f ca="1">($B$35+($B$8/100)*$B$29)/(1+Urbà!$M$12)^A5+AG4</f>
        <v>-19542.910827644962</v>
      </c>
      <c r="AH5">
        <f ca="1">($B$35+($B$9/100)*$B$29)/(1+Urbà!$M$12)^A5+AH4</f>
        <v>-18726.149298919121</v>
      </c>
      <c r="AI5">
        <f ca="1">($B$35+($B$10/100)*$B$29)/(1+Urbà!$M$12)^A5+AI4</f>
        <v>-17909.387770193287</v>
      </c>
    </row>
    <row r="6" spans="1:35" x14ac:dyDescent="0.35">
      <c r="A6">
        <v>4</v>
      </c>
      <c r="B6">
        <f>ROUND((Urbà!$J$12/4)*A6,0)</f>
        <v>50000</v>
      </c>
      <c r="C6">
        <f>ROUND((Interurbà!$J$12/4)*A6,0)</f>
        <v>120000</v>
      </c>
      <c r="D6">
        <f ca="1">($B$32+($B$3/100)*$B$26)/(1+Urbà!$M$12)^A6+D5</f>
        <v>-33788.198954221247</v>
      </c>
      <c r="E6">
        <f ca="1">($B$32+($B$4/100)*$B$26)/(1+Urbà!$M$12)^A6+E5</f>
        <v>-30112.91790844249</v>
      </c>
      <c r="F6">
        <f ca="1">($B$32+($B$5/100)*$B$26)/(1+Urbà!$M$12)^A6+F5</f>
        <v>-26437.636862663741</v>
      </c>
      <c r="G6">
        <f ca="1">($B$32+($B$6/100)*$B$26)/(1+Urbà!$M$12)^A6+G5</f>
        <v>-22762.355816884985</v>
      </c>
      <c r="H6">
        <f ca="1">($B$32+($B$7/100)*$B$26)/(1+Urbà!$M$12)^A6+H5</f>
        <v>-19087.074771106232</v>
      </c>
      <c r="I6">
        <f ca="1">($B$32+($B$8/100)*$B$26)/(1+Urbà!$M$12)^A6+I5</f>
        <v>-15411.793725327476</v>
      </c>
      <c r="J6">
        <f ca="1">($B$32+($B$9/100)*$B$26)/(1+Urbà!$M$12)^A6+J5</f>
        <v>-11736.512679548723</v>
      </c>
      <c r="K6">
        <f ca="1">($B$32+($B$10/100)*$B$26)/(1+Urbà!$M$12)^A6+K5</f>
        <v>-8061.2316337699722</v>
      </c>
      <c r="L6">
        <f ca="1">($B$33+($B$3/100)*$B$27)/(1+Urbà!$M$12)^A6+L5</f>
        <v>1955.6507933431462</v>
      </c>
      <c r="M6">
        <f ca="1">($B$33+($B$4/100)*$B$27)/(1+Urbà!$M$12)^A6+M5</f>
        <v>5054.781586686292</v>
      </c>
      <c r="N6">
        <f ca="1">($B$33+($B$5/100)*$B$27)/(1+Urbà!$M$12)^A6+N5</f>
        <v>8153.9123800294383</v>
      </c>
      <c r="O6">
        <f ca="1">($B$33+($B$6/100)*$B$27)/(1+Urbà!$M$12)^A6+O5</f>
        <v>11253.043173372584</v>
      </c>
      <c r="P6">
        <f ca="1">($B$33+($B$7/100)*$B$27)/(1+Urbà!$M$12)^A6+P5</f>
        <v>14352.173966715731</v>
      </c>
      <c r="Q6">
        <f ca="1">($B$33+($B$8/100)*$B$27)/(1+Urbà!$M$12)^A6+Q5</f>
        <v>17451.304760058876</v>
      </c>
      <c r="R6">
        <f ca="1">($B$33+($B$9/100)*$B$27)/(1+Urbà!$M$12)^A6+R5</f>
        <v>20550.435553402021</v>
      </c>
      <c r="S6">
        <f ca="1">($B$33+($B$10/100)*$B$27)/(1+Urbà!$M$12)^A6+S5</f>
        <v>23649.56634674517</v>
      </c>
      <c r="T6">
        <f ca="1">($B$34+($B$3/100)*$B$28)/(1+Urbà!$M$12)^A6+T5</f>
        <v>-11542.918415006719</v>
      </c>
      <c r="U6">
        <f ca="1">($B$34+($B$4/100)*$B$28)/(1+Urbà!$M$12)^A6+U5</f>
        <v>-10824.356830013439</v>
      </c>
      <c r="V6">
        <f ca="1">($B$34+($B$5/100)*$B$28)/(1+Urbà!$M$12)^A6+V5</f>
        <v>-10105.795245020161</v>
      </c>
      <c r="W6">
        <f ca="1">($B$34+($B$6/100)*$B$28)/(1+Urbà!$M$12)^A6+W5</f>
        <v>-9387.2336600268809</v>
      </c>
      <c r="X6">
        <f ca="1">($B$34+($B$7/100)*$B$28)/(1+Urbà!$M$12)^A6+X5</f>
        <v>-8668.6720750336008</v>
      </c>
      <c r="Y6">
        <f ca="1">($B$34+($B$8/100)*$B$28)/(1+Urbà!$M$12)^A6+Y5</f>
        <v>-7950.1104900403197</v>
      </c>
      <c r="Z6">
        <f ca="1">($B$34+($B$9/100)*$B$28)/(1+Urbà!$M$12)^A6+Z5</f>
        <v>-7231.5489050470414</v>
      </c>
      <c r="AA6">
        <f ca="1">($B$34+($B$10/100)*$B$28)/(1+Urbà!$M$12)^A6+AA5</f>
        <v>-6512.9873200537622</v>
      </c>
      <c r="AB6">
        <f ca="1">($B$35+($B$3/100)*$B$29)/(1+Urbà!$M$12)^A6+AB5</f>
        <v>-23370.167836188502</v>
      </c>
      <c r="AC6">
        <f ca="1">($B$35+($B$4/100)*$B$29)/(1+Urbà!$M$12)^A6+AC5</f>
        <v>-22296.855672377009</v>
      </c>
      <c r="AD6">
        <f ca="1">($B$35+($B$5/100)*$B$29)/(1+Urbà!$M$12)^A6+AD5</f>
        <v>-21223.543508565515</v>
      </c>
      <c r="AE6">
        <f ca="1">($B$35+($B$6/100)*$B$29)/(1+Urbà!$M$12)^A6+AE5</f>
        <v>-20150.231344754025</v>
      </c>
      <c r="AF6">
        <f ca="1">($B$35+($B$7/100)*$B$29)/(1+Urbà!$M$12)^A6+AF5</f>
        <v>-19076.919180942525</v>
      </c>
      <c r="AG6">
        <f ca="1">($B$35+($B$8/100)*$B$29)/(1+Urbà!$M$12)^A6+AG5</f>
        <v>-18003.607017131031</v>
      </c>
      <c r="AH6">
        <f ca="1">($B$35+($B$9/100)*$B$29)/(1+Urbà!$M$12)^A6+AH5</f>
        <v>-16930.294853319534</v>
      </c>
      <c r="AI6">
        <f ca="1">($B$35+($B$10/100)*$B$29)/(1+Urbà!$M$12)^A6+AI5</f>
        <v>-15856.982689508044</v>
      </c>
    </row>
    <row r="7" spans="1:35" x14ac:dyDescent="0.35">
      <c r="A7">
        <v>5</v>
      </c>
      <c r="B7">
        <f>ROUND((Urbà!$J$12/4)*A7,0)</f>
        <v>62500</v>
      </c>
      <c r="C7">
        <f>ROUND((Interurbà!$J$12/4)*A7,0)</f>
        <v>150000</v>
      </c>
      <c r="D7">
        <f ca="1">($B$32+($B$3/100)*$B$26)/(1+Urbà!$M$12)^A7+D6</f>
        <v>-32935.294518661402</v>
      </c>
      <c r="E7">
        <f ca="1">($B$32+($B$4/100)*$B$26)/(1+Urbà!$M$12)^A7+E6</f>
        <v>-28407.109037322807</v>
      </c>
      <c r="F7">
        <f ca="1">($B$32+($B$5/100)*$B$26)/(1+Urbà!$M$12)^A7+F6</f>
        <v>-23878.923555984213</v>
      </c>
      <c r="G7">
        <f ca="1">($B$32+($B$6/100)*$B$26)/(1+Urbà!$M$12)^A7+G6</f>
        <v>-19350.738074645615</v>
      </c>
      <c r="H7">
        <f ca="1">($B$32+($B$7/100)*$B$26)/(1+Urbà!$M$12)^A7+H6</f>
        <v>-14822.55259330702</v>
      </c>
      <c r="I7">
        <f ca="1">($B$32+($B$8/100)*$B$26)/(1+Urbà!$M$12)^A7+I6</f>
        <v>-10294.367111968422</v>
      </c>
      <c r="J7">
        <f ca="1">($B$32+($B$9/100)*$B$26)/(1+Urbà!$M$12)^A7+J6</f>
        <v>-5766.1816306298269</v>
      </c>
      <c r="K7">
        <f ca="1">($B$32+($B$10/100)*$B$26)/(1+Urbà!$M$12)^A7+K6</f>
        <v>-1237.9961492912344</v>
      </c>
      <c r="L7">
        <f ca="1">($B$33+($B$3/100)*$B$27)/(1+Urbà!$M$12)^A7+L6</f>
        <v>2674.8508673234428</v>
      </c>
      <c r="M7">
        <f ca="1">($B$33+($B$4/100)*$B$27)/(1+Urbà!$M$12)^A7+M6</f>
        <v>6493.1817346468852</v>
      </c>
      <c r="N7">
        <f ca="1">($B$33+($B$5/100)*$B$27)/(1+Urbà!$M$12)^A7+N6</f>
        <v>10311.512601970329</v>
      </c>
      <c r="O7">
        <f ca="1">($B$33+($B$6/100)*$B$27)/(1+Urbà!$M$12)^A7+O6</f>
        <v>14129.84346929377</v>
      </c>
      <c r="P7">
        <f ca="1">($B$33+($B$7/100)*$B$27)/(1+Urbà!$M$12)^A7+P6</f>
        <v>17948.174336617216</v>
      </c>
      <c r="Q7">
        <f ca="1">($B$33+($B$8/100)*$B$27)/(1+Urbà!$M$12)^A7+Q6</f>
        <v>21766.505203940658</v>
      </c>
      <c r="R7">
        <f ca="1">($B$33+($B$9/100)*$B$27)/(1+Urbà!$M$12)^A7+R6</f>
        <v>25584.836071264101</v>
      </c>
      <c r="S7">
        <f ca="1">($B$33+($B$10/100)*$B$27)/(1+Urbà!$M$12)^A7+S6</f>
        <v>29403.166938587543</v>
      </c>
      <c r="T7">
        <f ca="1">($B$34+($B$3/100)*$B$28)/(1+Urbà!$M$12)^A7+T6</f>
        <v>-11376.165354375456</v>
      </c>
      <c r="U7">
        <f ca="1">($B$34+($B$4/100)*$B$28)/(1+Urbà!$M$12)^A7+U6</f>
        <v>-10490.850708750912</v>
      </c>
      <c r="V7">
        <f ca="1">($B$34+($B$5/100)*$B$28)/(1+Urbà!$M$12)^A7+V6</f>
        <v>-9605.5360631263702</v>
      </c>
      <c r="W7">
        <f ca="1">($B$34+($B$6/100)*$B$28)/(1+Urbà!$M$12)^A7+W6</f>
        <v>-8720.2214175018253</v>
      </c>
      <c r="X7">
        <f ca="1">($B$34+($B$7/100)*$B$28)/(1+Urbà!$M$12)^A7+X6</f>
        <v>-7834.9067718772822</v>
      </c>
      <c r="Y7">
        <f ca="1">($B$34+($B$8/100)*$B$28)/(1+Urbà!$M$12)^A7+Y6</f>
        <v>-6949.5921262527372</v>
      </c>
      <c r="Z7">
        <f ca="1">($B$34+($B$9/100)*$B$28)/(1+Urbà!$M$12)^A7+Z6</f>
        <v>-6064.2774806281959</v>
      </c>
      <c r="AA7">
        <f ca="1">($B$34+($B$10/100)*$B$28)/(1+Urbà!$M$12)^A7+AA6</f>
        <v>-5178.9628350036528</v>
      </c>
      <c r="AB7">
        <f ca="1">($B$35+($B$3/100)*$B$29)/(1+Urbà!$M$12)^A7+AB6</f>
        <v>-23121.089549697575</v>
      </c>
      <c r="AC7">
        <f ca="1">($B$35+($B$4/100)*$B$29)/(1+Urbà!$M$12)^A7+AC6</f>
        <v>-21798.699099395155</v>
      </c>
      <c r="AD7">
        <f ca="1">($B$35+($B$5/100)*$B$29)/(1+Urbà!$M$12)^A7+AD6</f>
        <v>-20476.308649092734</v>
      </c>
      <c r="AE7">
        <f ca="1">($B$35+($B$6/100)*$B$29)/(1+Urbà!$M$12)^A7+AE6</f>
        <v>-19153.918198790314</v>
      </c>
      <c r="AF7">
        <f ca="1">($B$35+($B$7/100)*$B$29)/(1+Urbà!$M$12)^A7+AF6</f>
        <v>-17831.527748487886</v>
      </c>
      <c r="AG7">
        <f ca="1">($B$35+($B$8/100)*$B$29)/(1+Urbà!$M$12)^A7+AG6</f>
        <v>-16509.137298185466</v>
      </c>
      <c r="AH7">
        <f ca="1">($B$35+($B$9/100)*$B$29)/(1+Urbà!$M$12)^A7+AH6</f>
        <v>-15186.746847883041</v>
      </c>
      <c r="AI7">
        <f ca="1">($B$35+($B$10/100)*$B$29)/(1+Urbà!$M$12)^A7+AI6</f>
        <v>-13864.356397580625</v>
      </c>
    </row>
    <row r="8" spans="1:35" x14ac:dyDescent="0.35">
      <c r="A8">
        <v>6</v>
      </c>
      <c r="B8">
        <f>ROUND((Urbà!$J$12/4)*A8,0)</f>
        <v>75000</v>
      </c>
      <c r="C8">
        <f>ROUND((Interurbà!$J$12/4)*A8,0)</f>
        <v>180000</v>
      </c>
      <c r="D8">
        <f ca="1">($B$32+($B$3/100)*$B$26)/(1+Urbà!$M$12)^A8+D7</f>
        <v>-32107.231959865439</v>
      </c>
      <c r="E8">
        <f ca="1">($B$32+($B$4/100)*$B$26)/(1+Urbà!$M$12)^A8+E7</f>
        <v>-26750.983919730879</v>
      </c>
      <c r="F8">
        <f ca="1">($B$32+($B$5/100)*$B$26)/(1+Urbà!$M$12)^A8+F7</f>
        <v>-21394.735879596323</v>
      </c>
      <c r="G8">
        <f ca="1">($B$32+($B$6/100)*$B$26)/(1+Urbà!$M$12)^A8+G7</f>
        <v>-16038.487839461761</v>
      </c>
      <c r="H8">
        <f ca="1">($B$32+($B$7/100)*$B$26)/(1+Urbà!$M$12)^A8+H7</f>
        <v>-10682.239799327202</v>
      </c>
      <c r="I8">
        <f ca="1">($B$32+($B$8/100)*$B$26)/(1+Urbà!$M$12)^A8+I7</f>
        <v>-5325.9917591926423</v>
      </c>
      <c r="J8">
        <f ca="1">($B$32+($B$9/100)*$B$26)/(1+Urbà!$M$12)^A8+J7</f>
        <v>30.256280941915975</v>
      </c>
      <c r="K8">
        <f ca="1">($B$32+($B$10/100)*$B$26)/(1+Urbà!$M$12)^A8+K7</f>
        <v>5386.5043210764725</v>
      </c>
      <c r="L8">
        <f ca="1">($B$33+($B$3/100)*$B$27)/(1+Urbà!$M$12)^A8+L7</f>
        <v>3373.1033663334397</v>
      </c>
      <c r="M8">
        <f ca="1">($B$33+($B$4/100)*$B$27)/(1+Urbà!$M$12)^A8+M7</f>
        <v>7889.6867326668789</v>
      </c>
      <c r="N8">
        <f ca="1">($B$33+($B$5/100)*$B$27)/(1+Urbà!$M$12)^A8+N7</f>
        <v>12406.27009900032</v>
      </c>
      <c r="O8">
        <f ca="1">($B$33+($B$6/100)*$B$27)/(1+Urbà!$M$12)^A8+O7</f>
        <v>16922.853465333756</v>
      </c>
      <c r="P8">
        <f ca="1">($B$33+($B$7/100)*$B$27)/(1+Urbà!$M$12)^A8+P7</f>
        <v>21439.436831667201</v>
      </c>
      <c r="Q8">
        <f ca="1">($B$33+($B$8/100)*$B$27)/(1+Urbà!$M$12)^A8+Q7</f>
        <v>25956.020198000639</v>
      </c>
      <c r="R8">
        <f ca="1">($B$33+($B$9/100)*$B$27)/(1+Urbà!$M$12)^A8+R7</f>
        <v>30472.60356433408</v>
      </c>
      <c r="S8">
        <f ca="1">($B$33+($B$10/100)*$B$27)/(1+Urbà!$M$12)^A8+S7</f>
        <v>34989.186930667522</v>
      </c>
      <c r="T8">
        <f ca="1">($B$34+($B$3/100)*$B$28)/(1+Urbà!$M$12)^A8+T7</f>
        <v>-11214.269179005298</v>
      </c>
      <c r="U8">
        <f ca="1">($B$34+($B$4/100)*$B$28)/(1+Urbà!$M$12)^A8+U7</f>
        <v>-10167.058358010594</v>
      </c>
      <c r="V8">
        <f ca="1">($B$34+($B$5/100)*$B$28)/(1+Urbà!$M$12)^A8+V7</f>
        <v>-9119.847537015894</v>
      </c>
      <c r="W8">
        <f ca="1">($B$34+($B$6/100)*$B$28)/(1+Urbà!$M$12)^A8+W7</f>
        <v>-8072.6367160211894</v>
      </c>
      <c r="X8">
        <f ca="1">($B$34+($B$7/100)*$B$28)/(1+Urbà!$M$12)^A8+X7</f>
        <v>-7025.4258950264875</v>
      </c>
      <c r="Y8">
        <f ca="1">($B$34+($B$8/100)*$B$28)/(1+Urbà!$M$12)^A8+Y7</f>
        <v>-5978.2150740317838</v>
      </c>
      <c r="Z8">
        <f ca="1">($B$34+($B$9/100)*$B$28)/(1+Urbà!$M$12)^A8+Z7</f>
        <v>-4931.0042530370829</v>
      </c>
      <c r="AA8">
        <f ca="1">($B$34+($B$10/100)*$B$28)/(1+Urbà!$M$12)^A8+AA7</f>
        <v>-3883.793432042381</v>
      </c>
      <c r="AB8">
        <f ca="1">($B$35+($B$3/100)*$B$29)/(1+Urbà!$M$12)^A8+AB7</f>
        <v>-22879.265970580171</v>
      </c>
      <c r="AC8">
        <f ca="1">($B$35+($B$4/100)*$B$29)/(1+Urbà!$M$12)^A8+AC7</f>
        <v>-21315.051941160345</v>
      </c>
      <c r="AD8">
        <f ca="1">($B$35+($B$5/100)*$B$29)/(1+Urbà!$M$12)^A8+AD7</f>
        <v>-19750.83791174052</v>
      </c>
      <c r="AE8">
        <f ca="1">($B$35+($B$6/100)*$B$29)/(1+Urbà!$M$12)^A8+AE7</f>
        <v>-18186.623882320691</v>
      </c>
      <c r="AF8">
        <f ca="1">($B$35+($B$7/100)*$B$29)/(1+Urbà!$M$12)^A8+AF7</f>
        <v>-16622.409852900859</v>
      </c>
      <c r="AG8">
        <f ca="1">($B$35+($B$8/100)*$B$29)/(1+Urbà!$M$12)^A8+AG7</f>
        <v>-15058.195823481034</v>
      </c>
      <c r="AH8">
        <f ca="1">($B$35+($B$9/100)*$B$29)/(1+Urbà!$M$12)^A8+AH7</f>
        <v>-13493.981794061205</v>
      </c>
      <c r="AI8">
        <f ca="1">($B$35+($B$10/100)*$B$29)/(1+Urbà!$M$12)^A8+AI7</f>
        <v>-11929.767764641383</v>
      </c>
    </row>
    <row r="9" spans="1:35" x14ac:dyDescent="0.35">
      <c r="A9">
        <v>7</v>
      </c>
      <c r="B9">
        <f>ROUND((Urbà!$J$12/4)*A9,0)</f>
        <v>87500</v>
      </c>
      <c r="C9">
        <f>ROUND((Interurbà!$J$12/4)*A9,0)</f>
        <v>210000</v>
      </c>
      <c r="D9">
        <f ca="1">($B$32+($B$3/100)*$B$26)/(1+Urbà!$M$12)^A9+D8</f>
        <v>-31303.287728024698</v>
      </c>
      <c r="E9">
        <f ca="1">($B$32+($B$4/100)*$B$26)/(1+Urbà!$M$12)^A9+E8</f>
        <v>-25143.095456049396</v>
      </c>
      <c r="F9">
        <f ca="1">($B$32+($B$5/100)*$B$26)/(1+Urbà!$M$12)^A9+F8</f>
        <v>-18982.903184074101</v>
      </c>
      <c r="G9">
        <f ca="1">($B$32+($B$6/100)*$B$26)/(1+Urbà!$M$12)^A9+G8</f>
        <v>-12822.710912098797</v>
      </c>
      <c r="H9">
        <f ca="1">($B$32+($B$7/100)*$B$26)/(1+Urbà!$M$12)^A9+H8</f>
        <v>-6662.5186401234969</v>
      </c>
      <c r="I9">
        <f ca="1">($B$32+($B$8/100)*$B$26)/(1+Urbà!$M$12)^A9+I8</f>
        <v>-502.3263681481958</v>
      </c>
      <c r="J9">
        <f ca="1">($B$32+($B$9/100)*$B$26)/(1+Urbà!$M$12)^A9+J8</f>
        <v>5657.8659038271035</v>
      </c>
      <c r="K9">
        <f ca="1">($B$32+($B$10/100)*$B$26)/(1+Urbà!$M$12)^A9+K8</f>
        <v>11818.058175802402</v>
      </c>
      <c r="L9">
        <f ca="1">($B$33+($B$3/100)*$B$27)/(1+Urbà!$M$12)^A9+L8</f>
        <v>4051.018413915961</v>
      </c>
      <c r="M9">
        <f ca="1">($B$33+($B$4/100)*$B$27)/(1+Urbà!$M$12)^A9+M8</f>
        <v>9245.5168278319215</v>
      </c>
      <c r="N9">
        <f ca="1">($B$33+($B$5/100)*$B$27)/(1+Urbà!$M$12)^A9+N8</f>
        <v>14440.015241747882</v>
      </c>
      <c r="O9">
        <f ca="1">($B$33+($B$6/100)*$B$27)/(1+Urbà!$M$12)^A9+O8</f>
        <v>19634.513655663839</v>
      </c>
      <c r="P9">
        <f ca="1">($B$33+($B$7/100)*$B$27)/(1+Urbà!$M$12)^A9+P8</f>
        <v>24829.012069579807</v>
      </c>
      <c r="Q9">
        <f ca="1">($B$33+($B$8/100)*$B$27)/(1+Urbà!$M$12)^A9+Q8</f>
        <v>30023.510483495767</v>
      </c>
      <c r="R9">
        <f ca="1">($B$33+($B$9/100)*$B$27)/(1+Urbà!$M$12)^A9+R8</f>
        <v>35218.008897411732</v>
      </c>
      <c r="S9">
        <f ca="1">($B$33+($B$10/100)*$B$27)/(1+Urbà!$M$12)^A9+S8</f>
        <v>40412.507311327689</v>
      </c>
      <c r="T9">
        <f ca="1">($B$34+($B$3/100)*$B$28)/(1+Urbà!$M$12)^A9+T8</f>
        <v>-11057.088426218736</v>
      </c>
      <c r="U9">
        <f ca="1">($B$34+($B$4/100)*$B$28)/(1+Urbà!$M$12)^A9+U8</f>
        <v>-9852.6968524374697</v>
      </c>
      <c r="V9">
        <f ca="1">($B$34+($B$5/100)*$B$28)/(1+Urbà!$M$12)^A9+V8</f>
        <v>-8648.3052786562075</v>
      </c>
      <c r="W9">
        <f ca="1">($B$34+($B$6/100)*$B$28)/(1+Urbà!$M$12)^A9+W8</f>
        <v>-7443.9137048749408</v>
      </c>
      <c r="X9">
        <f ca="1">($B$34+($B$7/100)*$B$28)/(1+Urbà!$M$12)^A9+X8</f>
        <v>-6239.5221310936777</v>
      </c>
      <c r="Y9">
        <f ca="1">($B$34+($B$8/100)*$B$28)/(1+Urbà!$M$12)^A9+Y8</f>
        <v>-5035.1305573124118</v>
      </c>
      <c r="Z9">
        <f ca="1">($B$34+($B$9/100)*$B$28)/(1+Urbà!$M$12)^A9+Z8</f>
        <v>-3830.7389835311483</v>
      </c>
      <c r="AA9">
        <f ca="1">($B$34+($B$10/100)*$B$28)/(1+Urbà!$M$12)^A9+AA8</f>
        <v>-2626.3474097498847</v>
      </c>
      <c r="AB9">
        <f ca="1">($B$35+($B$3/100)*$B$29)/(1+Urbà!$M$12)^A9+AB8</f>
        <v>-22644.485796679779</v>
      </c>
      <c r="AC9">
        <f ca="1">($B$35+($B$4/100)*$B$29)/(1+Urbà!$M$12)^A9+AC8</f>
        <v>-20845.491593359558</v>
      </c>
      <c r="AD9">
        <f ca="1">($B$35+($B$5/100)*$B$29)/(1+Urbà!$M$12)^A9+AD8</f>
        <v>-19046.497390039342</v>
      </c>
      <c r="AE9">
        <f ca="1">($B$35+($B$6/100)*$B$29)/(1+Urbà!$M$12)^A9+AE8</f>
        <v>-17247.503186719117</v>
      </c>
      <c r="AF9">
        <f ca="1">($B$35+($B$7/100)*$B$29)/(1+Urbà!$M$12)^A9+AF8</f>
        <v>-15448.508983398891</v>
      </c>
      <c r="AG9">
        <f ca="1">($B$35+($B$8/100)*$B$29)/(1+Urbà!$M$12)^A9+AG8</f>
        <v>-13649.514780078673</v>
      </c>
      <c r="AH9">
        <f ca="1">($B$35+($B$9/100)*$B$29)/(1+Urbà!$M$12)^A9+AH8</f>
        <v>-11850.52057675845</v>
      </c>
      <c r="AI9">
        <f ca="1">($B$35+($B$10/100)*$B$29)/(1+Urbà!$M$12)^A9+AI8</f>
        <v>-10051.526373438235</v>
      </c>
    </row>
    <row r="10" spans="1:35" x14ac:dyDescent="0.35">
      <c r="A10">
        <v>8</v>
      </c>
      <c r="B10">
        <f>ROUND((Urbà!$J$12/4)*A10,0)</f>
        <v>100000</v>
      </c>
      <c r="C10">
        <f>ROUND((Interurbà!$J$12/4)*A10,0)</f>
        <v>240000</v>
      </c>
      <c r="D10">
        <f ca="1">($B$32+($B$3/100)*$B$26)/(1+Urbà!$M$12)^A10+D9</f>
        <v>-30522.759347596795</v>
      </c>
      <c r="E10">
        <f ca="1">($B$32+($B$4/100)*$B$26)/(1+Urbà!$M$12)^A10+E9</f>
        <v>-23582.038695193587</v>
      </c>
      <c r="F10">
        <f ca="1">($B$32+($B$5/100)*$B$26)/(1+Urbà!$M$12)^A10+F9</f>
        <v>-16641.31804279039</v>
      </c>
      <c r="G10">
        <f ca="1">($B$32+($B$6/100)*$B$26)/(1+Urbà!$M$12)^A10+G9</f>
        <v>-9700.5973903871818</v>
      </c>
      <c r="H10">
        <f ca="1">($B$32+($B$7/100)*$B$26)/(1+Urbà!$M$12)^A10+H9</f>
        <v>-2759.8767379839769</v>
      </c>
      <c r="I10">
        <f ca="1">($B$32+($B$8/100)*$B$26)/(1+Urbà!$M$12)^A10+I9</f>
        <v>4180.843914419228</v>
      </c>
      <c r="J10">
        <f ca="1">($B$32+($B$9/100)*$B$26)/(1+Urbà!$M$12)^A10+J9</f>
        <v>11121.564566822432</v>
      </c>
      <c r="K10">
        <f ca="1">($B$32+($B$10/100)*$B$26)/(1+Urbà!$M$12)^A10+K9</f>
        <v>18062.285219225632</v>
      </c>
      <c r="L10">
        <f ca="1">($B$33+($B$3/100)*$B$27)/(1+Urbà!$M$12)^A10+L9</f>
        <v>4709.188363025205</v>
      </c>
      <c r="M10">
        <f ca="1">($B$33+($B$4/100)*$B$27)/(1+Urbà!$M$12)^A10+M9</f>
        <v>10561.85672605041</v>
      </c>
      <c r="N10">
        <f ca="1">($B$33+($B$5/100)*$B$27)/(1+Urbà!$M$12)^A10+N9</f>
        <v>16414.525089075614</v>
      </c>
      <c r="O10">
        <f ca="1">($B$33+($B$6/100)*$B$27)/(1+Urbà!$M$12)^A10+O9</f>
        <v>22267.193452100815</v>
      </c>
      <c r="P10">
        <f ca="1">($B$33+($B$7/100)*$B$27)/(1+Urbà!$M$12)^A10+P9</f>
        <v>28119.861815126027</v>
      </c>
      <c r="Q10">
        <f ca="1">($B$33+($B$8/100)*$B$27)/(1+Urbà!$M$12)^A10+Q9</f>
        <v>33972.530178151232</v>
      </c>
      <c r="R10">
        <f ca="1">($B$33+($B$9/100)*$B$27)/(1+Urbà!$M$12)^A10+R9</f>
        <v>39825.19854117644</v>
      </c>
      <c r="S10">
        <f ca="1">($B$33+($B$10/100)*$B$27)/(1+Urbà!$M$12)^A10+S9</f>
        <v>45677.866904201641</v>
      </c>
      <c r="T10">
        <f ca="1">($B$34+($B$3/100)*$B$28)/(1+Urbà!$M$12)^A10+T9</f>
        <v>-10904.485753610423</v>
      </c>
      <c r="U10">
        <f ca="1">($B$34+($B$4/100)*$B$28)/(1+Urbà!$M$12)^A10+U9</f>
        <v>-9547.4915072208441</v>
      </c>
      <c r="V10">
        <f ca="1">($B$34+($B$5/100)*$B$28)/(1+Urbà!$M$12)^A10+V9</f>
        <v>-8190.4972608312692</v>
      </c>
      <c r="W10">
        <f ca="1">($B$34+($B$6/100)*$B$28)/(1+Urbà!$M$12)^A10+W9</f>
        <v>-6833.5030144416896</v>
      </c>
      <c r="X10">
        <f ca="1">($B$34+($B$7/100)*$B$28)/(1+Urbà!$M$12)^A10+X9</f>
        <v>-5476.5087680521137</v>
      </c>
      <c r="Y10">
        <f ca="1">($B$34+($B$8/100)*$B$28)/(1+Urbà!$M$12)^A10+Y9</f>
        <v>-4119.5145216625351</v>
      </c>
      <c r="Z10">
        <f ca="1">($B$34+($B$9/100)*$B$28)/(1+Urbà!$M$12)^A10+Z9</f>
        <v>-2762.5202752729592</v>
      </c>
      <c r="AA10">
        <f ca="1">($B$34+($B$10/100)*$B$28)/(1+Urbà!$M$12)^A10+AA9</f>
        <v>-1405.5260288833831</v>
      </c>
      <c r="AB10">
        <f ca="1">($B$35+($B$3/100)*$B$29)/(1+Urbà!$M$12)^A10+AB9</f>
        <v>-22416.543880271631</v>
      </c>
      <c r="AC10">
        <f ca="1">($B$35+($B$4/100)*$B$29)/(1+Urbà!$M$12)^A10+AC9</f>
        <v>-20389.607760543262</v>
      </c>
      <c r="AD10">
        <f ca="1">($B$35+($B$5/100)*$B$29)/(1+Urbà!$M$12)^A10+AD9</f>
        <v>-18362.671640814893</v>
      </c>
      <c r="AE10">
        <f ca="1">($B$35+($B$6/100)*$B$29)/(1+Urbà!$M$12)^A10+AE9</f>
        <v>-16335.735521086521</v>
      </c>
      <c r="AF10">
        <f ca="1">($B$35+($B$7/100)*$B$29)/(1+Urbà!$M$12)^A10+AF9</f>
        <v>-14308.799401358146</v>
      </c>
      <c r="AG10">
        <f ca="1">($B$35+($B$8/100)*$B$29)/(1+Urbà!$M$12)^A10+AG9</f>
        <v>-12281.86328162978</v>
      </c>
      <c r="AH10">
        <f ca="1">($B$35+($B$9/100)*$B$29)/(1+Urbà!$M$12)^A10+AH9</f>
        <v>-10254.927161901407</v>
      </c>
      <c r="AI10">
        <f ca="1">($B$35+($B$10/100)*$B$29)/(1+Urbà!$M$12)^A10+AI9</f>
        <v>-8227.9910421730438</v>
      </c>
    </row>
    <row r="11" spans="1:35" x14ac:dyDescent="0.35">
      <c r="A11">
        <v>9</v>
      </c>
      <c r="B11">
        <f>ROUND((Urbà!$J$12/4)*A11,0)</f>
        <v>112500</v>
      </c>
      <c r="C11">
        <f>ROUND((Interurbà!$J$12/4)*A11,0)</f>
        <v>270000</v>
      </c>
      <c r="D11">
        <f ca="1">($B$32+($B$3/100)*$B$26)/(1+Urbà!$M$12)^A11+D10</f>
        <v>-29764.964803492036</v>
      </c>
      <c r="E11">
        <f ca="1">($B$32+($B$4/100)*$B$26)/(1+Urbà!$M$12)^A11+E10</f>
        <v>-22066.449606984064</v>
      </c>
      <c r="F11">
        <f ca="1">($B$32+($B$5/100)*$B$26)/(1+Urbà!$M$12)^A11+F10</f>
        <v>-14367.934410476108</v>
      </c>
      <c r="G11">
        <f ca="1">($B$32+($B$6/100)*$B$26)/(1+Urbà!$M$12)^A11+G10</f>
        <v>-6669.4192139681372</v>
      </c>
      <c r="H11">
        <f ca="1">($B$32+($B$7/100)*$B$26)/(1+Urbà!$M$12)^A11+H10</f>
        <v>1029.0959825398286</v>
      </c>
      <c r="I11">
        <f ca="1">($B$32+($B$8/100)*$B$26)/(1+Urbà!$M$12)^A11+I10</f>
        <v>8727.6111790477953</v>
      </c>
      <c r="J11">
        <f ca="1">($B$32+($B$9/100)*$B$26)/(1+Urbà!$M$12)^A11+J10</f>
        <v>16426.126375555759</v>
      </c>
      <c r="K11">
        <f ca="1">($B$32+($B$10/100)*$B$26)/(1+Urbà!$M$12)^A11+K10</f>
        <v>24124.641572063723</v>
      </c>
      <c r="L11">
        <f ca="1">($B$33+($B$3/100)*$B$27)/(1+Urbà!$M$12)^A11+L10</f>
        <v>5348.1883136167044</v>
      </c>
      <c r="M11">
        <f ca="1">($B$33+($B$4/100)*$B$27)/(1+Urbà!$M$12)^A11+M10</f>
        <v>11839.856627233408</v>
      </c>
      <c r="N11">
        <f ca="1">($B$33+($B$5/100)*$B$27)/(1+Urbà!$M$12)^A11+N10</f>
        <v>18331.524940850111</v>
      </c>
      <c r="O11">
        <f ca="1">($B$33+($B$6/100)*$B$27)/(1+Urbà!$M$12)^A11+O10</f>
        <v>24823.193254466813</v>
      </c>
      <c r="P11">
        <f ca="1">($B$33+($B$7/100)*$B$27)/(1+Urbà!$M$12)^A11+P10</f>
        <v>31314.861568083521</v>
      </c>
      <c r="Q11">
        <f ca="1">($B$33+($B$8/100)*$B$27)/(1+Urbà!$M$12)^A11+Q10</f>
        <v>37806.529881700226</v>
      </c>
      <c r="R11">
        <f ca="1">($B$33+($B$9/100)*$B$27)/(1+Urbà!$M$12)^A11+R10</f>
        <v>44298.198195316931</v>
      </c>
      <c r="S11">
        <f ca="1">($B$33+($B$10/100)*$B$27)/(1+Urbà!$M$12)^A11+S10</f>
        <v>50789.866508933635</v>
      </c>
      <c r="T11">
        <f ca="1">($B$34+($B$3/100)*$B$28)/(1+Urbà!$M$12)^A11+T10</f>
        <v>-10756.327819039245</v>
      </c>
      <c r="U11">
        <f ca="1">($B$34+($B$4/100)*$B$28)/(1+Urbà!$M$12)^A11+U10</f>
        <v>-9251.17563807849</v>
      </c>
      <c r="V11">
        <f ca="1">($B$34+($B$5/100)*$B$28)/(1+Urbà!$M$12)^A11+V10</f>
        <v>-7746.0234571177371</v>
      </c>
      <c r="W11">
        <f ca="1">($B$34+($B$6/100)*$B$28)/(1+Urbà!$M$12)^A11+W10</f>
        <v>-6240.8712761569805</v>
      </c>
      <c r="X11">
        <f ca="1">($B$34+($B$7/100)*$B$28)/(1+Urbà!$M$12)^A11+X10</f>
        <v>-4735.7190951962266</v>
      </c>
      <c r="Y11">
        <f ca="1">($B$34+($B$8/100)*$B$28)/(1+Urbà!$M$12)^A11+Y10</f>
        <v>-3230.5669142354709</v>
      </c>
      <c r="Z11">
        <f ca="1">($B$34+($B$9/100)*$B$28)/(1+Urbà!$M$12)^A11+Z10</f>
        <v>-1725.4147332747175</v>
      </c>
      <c r="AA11">
        <f ca="1">($B$34+($B$10/100)*$B$28)/(1+Urbà!$M$12)^A11+AA10</f>
        <v>-220.26255231396408</v>
      </c>
      <c r="AB11">
        <f ca="1">($B$35+($B$3/100)*$B$29)/(1+Urbà!$M$12)^A11+AB10</f>
        <v>-22195.241048807409</v>
      </c>
      <c r="AC11">
        <f ca="1">($B$35+($B$4/100)*$B$29)/(1+Urbà!$M$12)^A11+AC10</f>
        <v>-19947.002097614819</v>
      </c>
      <c r="AD11">
        <f ca="1">($B$35+($B$5/100)*$B$29)/(1+Urbà!$M$12)^A11+AD10</f>
        <v>-17698.763146422225</v>
      </c>
      <c r="AE11">
        <f ca="1">($B$35+($B$6/100)*$B$29)/(1+Urbà!$M$12)^A11+AE10</f>
        <v>-15450.524195229631</v>
      </c>
      <c r="AF11">
        <f ca="1">($B$35+($B$7/100)*$B$29)/(1+Urbà!$M$12)^A11+AF10</f>
        <v>-13202.285244037035</v>
      </c>
      <c r="AG11">
        <f ca="1">($B$35+($B$8/100)*$B$29)/(1+Urbà!$M$12)^A11+AG10</f>
        <v>-10954.046292844445</v>
      </c>
      <c r="AH11">
        <f ca="1">($B$35+($B$9/100)*$B$29)/(1+Urbà!$M$12)^A11+AH10</f>
        <v>-8705.8073416518509</v>
      </c>
      <c r="AI11">
        <f ca="1">($B$35+($B$10/100)*$B$29)/(1+Urbà!$M$12)^A11+AI10</f>
        <v>-6457.5683904592652</v>
      </c>
    </row>
    <row r="12" spans="1:35" x14ac:dyDescent="0.35">
      <c r="A12">
        <v>10</v>
      </c>
      <c r="B12">
        <f>ROUND((Urbà!$J$12/4)*A12,0)</f>
        <v>125000</v>
      </c>
      <c r="C12">
        <f>ROUND((Interurbà!$J$12/4)*A12,0)</f>
        <v>300000</v>
      </c>
      <c r="D12">
        <f ca="1">($B$32+($B$3/100)*$B$26)/(1+Urbà!$M$12)^A12+D11</f>
        <v>-29029.241945137899</v>
      </c>
      <c r="E12">
        <f ca="1">($B$32+($B$4/100)*$B$26)/(1+Urbà!$M$12)^A12+E11</f>
        <v>-20595.003890275791</v>
      </c>
      <c r="F12">
        <f ca="1">($B$32+($B$5/100)*$B$26)/(1+Urbà!$M$12)^A12+F11</f>
        <v>-12160.765835413697</v>
      </c>
      <c r="G12">
        <f ca="1">($B$32+($B$6/100)*$B$26)/(1+Urbà!$M$12)^A12+G11</f>
        <v>-3726.5277805515889</v>
      </c>
      <c r="H12">
        <f ca="1">($B$32+($B$7/100)*$B$26)/(1+Urbà!$M$12)^A12+H11</f>
        <v>4707.7102743105133</v>
      </c>
      <c r="I12">
        <f ca="1">($B$32+($B$8/100)*$B$26)/(1+Urbà!$M$12)^A12+I11</f>
        <v>13141.948329172617</v>
      </c>
      <c r="J12">
        <f ca="1">($B$32+($B$9/100)*$B$26)/(1+Urbà!$M$12)^A12+J11</f>
        <v>21576.186384034718</v>
      </c>
      <c r="K12">
        <f ca="1">($B$32+($B$10/100)*$B$26)/(1+Urbà!$M$12)^A12+K11</f>
        <v>30010.424438896822</v>
      </c>
      <c r="L12">
        <f ca="1">($B$33+($B$3/100)*$B$27)/(1+Urbà!$M$12)^A12+L11</f>
        <v>5968.5766151618491</v>
      </c>
      <c r="M12">
        <f ca="1">($B$33+($B$4/100)*$B$27)/(1+Urbà!$M$12)^A12+M11</f>
        <v>13080.633230323698</v>
      </c>
      <c r="N12">
        <f ca="1">($B$33+($B$5/100)*$B$27)/(1+Urbà!$M$12)^A12+N11</f>
        <v>20192.689845485544</v>
      </c>
      <c r="O12">
        <f ca="1">($B$33+($B$6/100)*$B$27)/(1+Urbà!$M$12)^A12+O11</f>
        <v>27304.746460647391</v>
      </c>
      <c r="P12">
        <f ca="1">($B$33+($B$7/100)*$B$27)/(1+Urbà!$M$12)^A12+P11</f>
        <v>34416.803075809243</v>
      </c>
      <c r="Q12">
        <f ca="1">($B$33+($B$8/100)*$B$27)/(1+Urbà!$M$12)^A12+Q11</f>
        <v>41528.85969097109</v>
      </c>
      <c r="R12">
        <f ca="1">($B$33+($B$9/100)*$B$27)/(1+Urbà!$M$12)^A12+R11</f>
        <v>48640.916306132945</v>
      </c>
      <c r="S12">
        <f ca="1">($B$33+($B$10/100)*$B$27)/(1+Urbà!$M$12)^A12+S11</f>
        <v>55752.972921294793</v>
      </c>
      <c r="T12">
        <f ca="1">($B$34+($B$3/100)*$B$28)/(1+Urbà!$M$12)^A12+T11</f>
        <v>-10612.485164115771</v>
      </c>
      <c r="U12">
        <f ca="1">($B$34+($B$4/100)*$B$28)/(1+Urbà!$M$12)^A12+U11</f>
        <v>-8963.4903282315445</v>
      </c>
      <c r="V12">
        <f ca="1">($B$34+($B$5/100)*$B$28)/(1+Urbà!$M$12)^A12+V11</f>
        <v>-7314.4954923473178</v>
      </c>
      <c r="W12">
        <f ca="1">($B$34+($B$6/100)*$B$28)/(1+Urbà!$M$12)^A12+W11</f>
        <v>-5665.5006564630876</v>
      </c>
      <c r="X12">
        <f ca="1">($B$34+($B$7/100)*$B$28)/(1+Urbà!$M$12)^A12+X11</f>
        <v>-4016.5058205788605</v>
      </c>
      <c r="Y12">
        <f ca="1">($B$34+($B$8/100)*$B$28)/(1+Urbà!$M$12)^A12+Y11</f>
        <v>-2367.5109846946316</v>
      </c>
      <c r="Z12">
        <f ca="1">($B$34+($B$9/100)*$B$28)/(1+Urbà!$M$12)^A12+Z11</f>
        <v>-718.51614881040518</v>
      </c>
      <c r="AA12">
        <f ca="1">($B$34+($B$10/100)*$B$28)/(1+Urbà!$M$12)^A12+AA11</f>
        <v>930.47868707382145</v>
      </c>
      <c r="AB12">
        <f ca="1">($B$35+($B$3/100)*$B$29)/(1+Urbà!$M$12)^A12+AB11</f>
        <v>-21980.38393088098</v>
      </c>
      <c r="AC12">
        <f ca="1">($B$35+($B$4/100)*$B$29)/(1+Urbà!$M$12)^A12+AC11</f>
        <v>-19517.287861761961</v>
      </c>
      <c r="AD12">
        <f ca="1">($B$35+($B$5/100)*$B$29)/(1+Urbà!$M$12)^A12+AD11</f>
        <v>-17054.191792642938</v>
      </c>
      <c r="AE12">
        <f ca="1">($B$35+($B$6/100)*$B$29)/(1+Urbà!$M$12)^A12+AE11</f>
        <v>-14591.095723523913</v>
      </c>
      <c r="AF12">
        <f ca="1">($B$35+($B$7/100)*$B$29)/(1+Urbà!$M$12)^A12+AF11</f>
        <v>-12127.999654404888</v>
      </c>
      <c r="AG12">
        <f ca="1">($B$35+($B$8/100)*$B$29)/(1+Urbà!$M$12)^A12+AG11</f>
        <v>-9664.9035852858688</v>
      </c>
      <c r="AH12">
        <f ca="1">($B$35+($B$9/100)*$B$29)/(1+Urbà!$M$12)^A12+AH11</f>
        <v>-7201.8075161668448</v>
      </c>
      <c r="AI12">
        <f ca="1">($B$35+($B$10/100)*$B$29)/(1+Urbà!$M$12)^A12+AI11</f>
        <v>-4738.71144704783</v>
      </c>
    </row>
    <row r="13" spans="1:35" x14ac:dyDescent="0.35">
      <c r="A13">
        <v>11</v>
      </c>
      <c r="B13">
        <f>ROUND((Urbà!$J$12/4)*A13,0)</f>
        <v>137500</v>
      </c>
      <c r="C13">
        <f>ROUND((Interurbà!$J$12/4)*A13,0)</f>
        <v>330000</v>
      </c>
      <c r="D13">
        <f ca="1">($B$32+($B$3/100)*$B$26)/(1+Urbà!$M$12)^A13+D12</f>
        <v>-28314.947907900874</v>
      </c>
      <c r="E13">
        <f ca="1">($B$32+($B$4/100)*$B$26)/(1+Urbà!$M$12)^A13+E12</f>
        <v>-19166.415815801738</v>
      </c>
      <c r="F13">
        <f ca="1">($B$32+($B$5/100)*$B$26)/(1+Urbà!$M$12)^A13+F12</f>
        <v>-10017.883723702618</v>
      </c>
      <c r="G13">
        <f ca="1">($B$32+($B$6/100)*$B$26)/(1+Urbà!$M$12)^A13+G12</f>
        <v>-869.35163160348384</v>
      </c>
      <c r="H13">
        <f ca="1">($B$32+($B$7/100)*$B$26)/(1+Urbà!$M$12)^A13+H12</f>
        <v>8279.1804604956451</v>
      </c>
      <c r="I13">
        <f ca="1">($B$32+($B$8/100)*$B$26)/(1+Urbà!$M$12)^A13+I12</f>
        <v>17427.712552594774</v>
      </c>
      <c r="J13">
        <f ca="1">($B$32+($B$9/100)*$B$26)/(1+Urbà!$M$12)^A13+J12</f>
        <v>26576.244644693899</v>
      </c>
      <c r="K13">
        <f ca="1">($B$32+($B$10/100)*$B$26)/(1+Urbà!$M$12)^A13+K12</f>
        <v>35724.776736793036</v>
      </c>
      <c r="L13">
        <f ca="1">($B$33+($B$3/100)*$B$27)/(1+Urbà!$M$12)^A13+L12</f>
        <v>6570.8953545260674</v>
      </c>
      <c r="M13">
        <f ca="1">($B$33+($B$4/100)*$B$27)/(1+Urbà!$M$12)^A13+M12</f>
        <v>14285.270709052134</v>
      </c>
      <c r="N13">
        <f ca="1">($B$33+($B$5/100)*$B$27)/(1+Urbà!$M$12)^A13+N12</f>
        <v>21999.646063578199</v>
      </c>
      <c r="O13">
        <f ca="1">($B$33+($B$6/100)*$B$27)/(1+Urbà!$M$12)^A13+O12</f>
        <v>29714.021418104265</v>
      </c>
      <c r="P13">
        <f ca="1">($B$33+($B$7/100)*$B$27)/(1+Urbà!$M$12)^A13+P12</f>
        <v>37428.396772630331</v>
      </c>
      <c r="Q13">
        <f ca="1">($B$33+($B$8/100)*$B$27)/(1+Urbà!$M$12)^A13+Q12</f>
        <v>45142.772127156401</v>
      </c>
      <c r="R13">
        <f ca="1">($B$33+($B$9/100)*$B$27)/(1+Urbà!$M$12)^A13+R12</f>
        <v>52857.14748168247</v>
      </c>
      <c r="S13">
        <f ca="1">($B$33+($B$10/100)*$B$27)/(1+Urbà!$M$12)^A13+S12</f>
        <v>60571.52283620854</v>
      </c>
      <c r="T13">
        <f ca="1">($B$34+($B$3/100)*$B$28)/(1+Urbà!$M$12)^A13+T12</f>
        <v>-10472.832101083273</v>
      </c>
      <c r="U13">
        <f ca="1">($B$34+($B$4/100)*$B$28)/(1+Urbà!$M$12)^A13+U12</f>
        <v>-8684.1842021665489</v>
      </c>
      <c r="V13">
        <f ca="1">($B$34+($B$5/100)*$B$28)/(1+Urbà!$M$12)^A13+V12</f>
        <v>-6895.5363032498235</v>
      </c>
      <c r="W13">
        <f ca="1">($B$34+($B$6/100)*$B$28)/(1+Urbà!$M$12)^A13+W12</f>
        <v>-5106.8884043330945</v>
      </c>
      <c r="X13">
        <f ca="1">($B$34+($B$7/100)*$B$28)/(1+Urbà!$M$12)^A13+X12</f>
        <v>-3318.2405054163692</v>
      </c>
      <c r="Y13">
        <f ca="1">($B$34+($B$8/100)*$B$28)/(1+Urbà!$M$12)^A13+Y12</f>
        <v>-1529.5926064996422</v>
      </c>
      <c r="Z13">
        <f ca="1">($B$34+($B$9/100)*$B$28)/(1+Urbà!$M$12)^A13+Z12</f>
        <v>259.05529241708246</v>
      </c>
      <c r="AA13">
        <f ca="1">($B$34+($B$10/100)*$B$28)/(1+Urbà!$M$12)^A13+AA12</f>
        <v>2047.7031913338074</v>
      </c>
      <c r="AB13">
        <f ca="1">($B$35+($B$3/100)*$B$29)/(1+Urbà!$M$12)^A13+AB12</f>
        <v>-21771.784787263088</v>
      </c>
      <c r="AC13">
        <f ca="1">($B$35+($B$4/100)*$B$29)/(1+Urbà!$M$12)^A13+AC12</f>
        <v>-19100.089574526177</v>
      </c>
      <c r="AD13">
        <f ca="1">($B$35+($B$5/100)*$B$29)/(1+Urbà!$M$12)^A13+AD12</f>
        <v>-16428.394361789258</v>
      </c>
      <c r="AE13">
        <f ca="1">($B$35+($B$6/100)*$B$29)/(1+Urbà!$M$12)^A13+AE12</f>
        <v>-13756.699149052343</v>
      </c>
      <c r="AF13">
        <f ca="1">($B$35+($B$7/100)*$B$29)/(1+Urbà!$M$12)^A13+AF12</f>
        <v>-11085.003936315425</v>
      </c>
      <c r="AG13">
        <f ca="1">($B$35+($B$8/100)*$B$29)/(1+Urbà!$M$12)^A13+AG12</f>
        <v>-8413.3087235785133</v>
      </c>
      <c r="AH13">
        <f ca="1">($B$35+($B$9/100)*$B$29)/(1+Urbà!$M$12)^A13+AH12</f>
        <v>-5741.6135108415965</v>
      </c>
      <c r="AI13">
        <f ca="1">($B$35+($B$10/100)*$B$29)/(1+Urbà!$M$12)^A13+AI12</f>
        <v>-3069.9182981046888</v>
      </c>
    </row>
    <row r="14" spans="1:35" x14ac:dyDescent="0.35">
      <c r="A14">
        <v>12</v>
      </c>
      <c r="B14">
        <f>ROUND((Urbà!$J$12/4)*A14,0)</f>
        <v>150000</v>
      </c>
      <c r="C14">
        <f>ROUND((Interurbà!$J$12/4)*A14,0)</f>
        <v>360000</v>
      </c>
      <c r="D14">
        <f ca="1">($B$32+($B$3/100)*$B$26)/(1+Urbà!$M$12)^A14+D13</f>
        <v>-27621.458551360072</v>
      </c>
      <c r="E14">
        <f ca="1">($B$32+($B$4/100)*$B$26)/(1+Urbà!$M$12)^A14+E13</f>
        <v>-17779.437102720134</v>
      </c>
      <c r="F14">
        <f ca="1">($B$32+($B$5/100)*$B$26)/(1+Urbà!$M$12)^A14+F13</f>
        <v>-7937.4156540802114</v>
      </c>
      <c r="G14">
        <f ca="1">($B$32+($B$6/100)*$B$26)/(1+Urbà!$M$12)^A14+G13</f>
        <v>1904.6057945597254</v>
      </c>
      <c r="H14">
        <f ca="1">($B$32+($B$7/100)*$B$26)/(1+Urbà!$M$12)^A14+H13</f>
        <v>11746.627243199657</v>
      </c>
      <c r="I14">
        <f ca="1">($B$32+($B$8/100)*$B$26)/(1+Urbà!$M$12)^A14+I13</f>
        <v>21588.648691839589</v>
      </c>
      <c r="J14">
        <f ca="1">($B$32+($B$9/100)*$B$26)/(1+Urbà!$M$12)^A14+J13</f>
        <v>31430.670140479517</v>
      </c>
      <c r="K14">
        <f ca="1">($B$32+($B$10/100)*$B$26)/(1+Urbà!$M$12)^A14+K13</f>
        <v>41272.691589119451</v>
      </c>
      <c r="L14">
        <f ca="1">($B$33+($B$3/100)*$B$27)/(1+Urbà!$M$12)^A14+L13</f>
        <v>7155.6708296369588</v>
      </c>
      <c r="M14">
        <f ca="1">($B$33+($B$4/100)*$B$27)/(1+Urbà!$M$12)^A14+M13</f>
        <v>15454.821659273917</v>
      </c>
      <c r="N14">
        <f ca="1">($B$33+($B$5/100)*$B$27)/(1+Urbà!$M$12)^A14+N13</f>
        <v>23753.972488910873</v>
      </c>
      <c r="O14">
        <f ca="1">($B$33+($B$6/100)*$B$27)/(1+Urbà!$M$12)^A14+O13</f>
        <v>32053.12331854783</v>
      </c>
      <c r="P14">
        <f ca="1">($B$33+($B$7/100)*$B$27)/(1+Urbà!$M$12)^A14+P13</f>
        <v>40352.274148184792</v>
      </c>
      <c r="Q14">
        <f ca="1">($B$33+($B$8/100)*$B$27)/(1+Urbà!$M$12)^A14+Q13</f>
        <v>48651.424977821749</v>
      </c>
      <c r="R14">
        <f ca="1">($B$33+($B$9/100)*$B$27)/(1+Urbà!$M$12)^A14+R13</f>
        <v>56950.575807458707</v>
      </c>
      <c r="S14">
        <f ca="1">($B$33+($B$10/100)*$B$27)/(1+Urbà!$M$12)^A14+S13</f>
        <v>65249.726637095671</v>
      </c>
      <c r="T14">
        <f ca="1">($B$34+($B$3/100)*$B$28)/(1+Urbà!$M$12)^A14+T13</f>
        <v>-10337.246602993469</v>
      </c>
      <c r="U14">
        <f ca="1">($B$34+($B$4/100)*$B$28)/(1+Urbà!$M$12)^A14+U13</f>
        <v>-8413.0132059869411</v>
      </c>
      <c r="V14">
        <f ca="1">($B$34+($B$5/100)*$B$28)/(1+Urbà!$M$12)^A14+V13</f>
        <v>-6488.779808980411</v>
      </c>
      <c r="W14">
        <f ca="1">($B$34+($B$6/100)*$B$28)/(1+Urbà!$M$12)^A14+W13</f>
        <v>-4564.5464119738781</v>
      </c>
      <c r="X14">
        <f ca="1">($B$34+($B$7/100)*$B$28)/(1+Urbà!$M$12)^A14+X13</f>
        <v>-2640.3130149673484</v>
      </c>
      <c r="Y14">
        <f ca="1">($B$34+($B$8/100)*$B$28)/(1+Urbà!$M$12)^A14+Y13</f>
        <v>-716.07961796081736</v>
      </c>
      <c r="Z14">
        <f ca="1">($B$34+($B$9/100)*$B$28)/(1+Urbà!$M$12)^A14+Z13</f>
        <v>1208.1537790457114</v>
      </c>
      <c r="AA14">
        <f ca="1">($B$34+($B$10/100)*$B$28)/(1+Urbà!$M$12)^A14+AA13</f>
        <v>3132.3871760522406</v>
      </c>
      <c r="AB14">
        <f ca="1">($B$35+($B$3/100)*$B$29)/(1+Urbà!$M$12)^A14+AB13</f>
        <v>-21569.261346857365</v>
      </c>
      <c r="AC14">
        <f ca="1">($B$35+($B$4/100)*$B$29)/(1+Urbà!$M$12)^A14+AC13</f>
        <v>-18695.042693714735</v>
      </c>
      <c r="AD14">
        <f ca="1">($B$35+($B$5/100)*$B$29)/(1+Urbà!$M$12)^A14+AD13</f>
        <v>-15820.824040572095</v>
      </c>
      <c r="AE14">
        <f ca="1">($B$35+($B$6/100)*$B$29)/(1+Urbà!$M$12)^A14+AE13</f>
        <v>-12946.605387429459</v>
      </c>
      <c r="AF14">
        <f ca="1">($B$35+($B$7/100)*$B$29)/(1+Urbà!$M$12)^A14+AF13</f>
        <v>-10072.38673428682</v>
      </c>
      <c r="AG14">
        <f ca="1">($B$35+($B$8/100)*$B$29)/(1+Urbà!$M$12)^A14+AG13</f>
        <v>-7198.1680811441875</v>
      </c>
      <c r="AH14">
        <f ca="1">($B$35+($B$9/100)*$B$29)/(1+Urbà!$M$12)^A14+AH13</f>
        <v>-4323.9494280015488</v>
      </c>
      <c r="AI14">
        <f ca="1">($B$35+($B$10/100)*$B$29)/(1+Urbà!$M$12)^A14+AI13</f>
        <v>-1449.7307748589203</v>
      </c>
    </row>
    <row r="15" spans="1:35" x14ac:dyDescent="0.35">
      <c r="A15">
        <v>13</v>
      </c>
      <c r="B15">
        <f>ROUND((Urbà!$J$12/4)*A15,0)</f>
        <v>162500</v>
      </c>
      <c r="C15">
        <f>ROUND((Interurbà!$J$12/4)*A15,0)</f>
        <v>390000</v>
      </c>
      <c r="D15">
        <f ca="1">($B$32+($B$3/100)*$B$26)/(1+Urbà!$M$12)^A15+D14</f>
        <v>-26948.167913941819</v>
      </c>
      <c r="E15">
        <f ca="1">($B$32+($B$4/100)*$B$26)/(1+Urbà!$M$12)^A15+E14</f>
        <v>-16432.855827883624</v>
      </c>
      <c r="F15">
        <f ca="1">($B$32+($B$5/100)*$B$26)/(1+Urbà!$M$12)^A15+F14</f>
        <v>-5917.5437418254478</v>
      </c>
      <c r="G15">
        <f ca="1">($B$32+($B$6/100)*$B$26)/(1+Urbà!$M$12)^A15+G14</f>
        <v>4597.7683442327434</v>
      </c>
      <c r="H15">
        <f ca="1">($B$32+($B$7/100)*$B$26)/(1+Urbà!$M$12)^A15+H14</f>
        <v>15113.080430290931</v>
      </c>
      <c r="I15">
        <f ca="1">($B$32+($B$8/100)*$B$26)/(1+Urbà!$M$12)^A15+I14</f>
        <v>25628.392516349119</v>
      </c>
      <c r="J15">
        <f ca="1">($B$32+($B$9/100)*$B$26)/(1+Urbà!$M$12)^A15+J14</f>
        <v>36143.704602407299</v>
      </c>
      <c r="K15">
        <f ca="1">($B$32+($B$10/100)*$B$26)/(1+Urbà!$M$12)^A15+K14</f>
        <v>46659.01668846549</v>
      </c>
      <c r="L15">
        <f ca="1">($B$33+($B$3/100)*$B$27)/(1+Urbà!$M$12)^A15+L14</f>
        <v>7723.414009356271</v>
      </c>
      <c r="M15">
        <f ca="1">($B$33+($B$4/100)*$B$27)/(1+Urbà!$M$12)^A15+M14</f>
        <v>16590.308018712542</v>
      </c>
      <c r="N15">
        <f ca="1">($B$33+($B$5/100)*$B$27)/(1+Urbà!$M$12)^A15+N14</f>
        <v>25457.202028068808</v>
      </c>
      <c r="O15">
        <f ca="1">($B$33+($B$6/100)*$B$27)/(1+Urbà!$M$12)^A15+O14</f>
        <v>34324.096037425079</v>
      </c>
      <c r="P15">
        <f ca="1">($B$33+($B$7/100)*$B$27)/(1+Urbà!$M$12)^A15+P14</f>
        <v>43190.99004678135</v>
      </c>
      <c r="Q15">
        <f ca="1">($B$33+($B$8/100)*$B$27)/(1+Urbà!$M$12)^A15+Q14</f>
        <v>52057.88405613762</v>
      </c>
      <c r="R15">
        <f ca="1">($B$33+($B$9/100)*$B$27)/(1+Urbà!$M$12)^A15+R14</f>
        <v>60924.778065493891</v>
      </c>
      <c r="S15">
        <f ca="1">($B$33+($B$10/100)*$B$27)/(1+Urbà!$M$12)^A15+S14</f>
        <v>69791.672074850168</v>
      </c>
      <c r="T15">
        <f ca="1">($B$34+($B$3/100)*$B$28)/(1+Urbà!$M$12)^A15+T14</f>
        <v>-10205.610197081038</v>
      </c>
      <c r="U15">
        <f ca="1">($B$34+($B$4/100)*$B$28)/(1+Urbà!$M$12)^A15+U14</f>
        <v>-8149.7403941620787</v>
      </c>
      <c r="V15">
        <f ca="1">($B$34+($B$5/100)*$B$28)/(1+Urbà!$M$12)^A15+V14</f>
        <v>-6093.8705912431178</v>
      </c>
      <c r="W15">
        <f ca="1">($B$34+($B$6/100)*$B$28)/(1+Urbà!$M$12)^A15+W14</f>
        <v>-4038.0007883241533</v>
      </c>
      <c r="X15">
        <f ca="1">($B$34+($B$7/100)*$B$28)/(1+Urbà!$M$12)^A15+X14</f>
        <v>-1982.1309854051924</v>
      </c>
      <c r="Y15">
        <f ca="1">($B$34+($B$8/100)*$B$28)/(1+Urbà!$M$12)^A15+Y14</f>
        <v>73.738817513769845</v>
      </c>
      <c r="Z15">
        <f ca="1">($B$34+($B$9/100)*$B$28)/(1+Urbà!$M$12)^A15+Z14</f>
        <v>2129.6086204327298</v>
      </c>
      <c r="AA15">
        <f ca="1">($B$34+($B$10/100)*$B$28)/(1+Urbà!$M$12)^A15+AA14</f>
        <v>4185.4784233516903</v>
      </c>
      <c r="AB15">
        <f ca="1">($B$35+($B$3/100)*$B$29)/(1+Urbà!$M$12)^A15+AB14</f>
        <v>-21372.636647434334</v>
      </c>
      <c r="AC15">
        <f ca="1">($B$35+($B$4/100)*$B$29)/(1+Urbà!$M$12)^A15+AC14</f>
        <v>-18301.793294868676</v>
      </c>
      <c r="AD15">
        <f ca="1">($B$35+($B$5/100)*$B$29)/(1+Urbà!$M$12)^A15+AD14</f>
        <v>-15230.949942303005</v>
      </c>
      <c r="AE15">
        <f ca="1">($B$35+($B$6/100)*$B$29)/(1+Urbà!$M$12)^A15+AE14</f>
        <v>-12160.106589737339</v>
      </c>
      <c r="AF15">
        <f ca="1">($B$35+($B$7/100)*$B$29)/(1+Urbà!$M$12)^A15+AF14</f>
        <v>-9089.2632371716682</v>
      </c>
      <c r="AG15">
        <f ca="1">($B$35+($B$8/100)*$B$29)/(1+Urbà!$M$12)^A15+AG14</f>
        <v>-6018.4198846060062</v>
      </c>
      <c r="AH15">
        <f ca="1">($B$35+($B$9/100)*$B$29)/(1+Urbà!$M$12)^A15+AH14</f>
        <v>-2947.576532040338</v>
      </c>
      <c r="AI15">
        <f ca="1">($B$35+($B$10/100)*$B$29)/(1+Urbà!$M$12)^A15+AI14</f>
        <v>123.26682052532101</v>
      </c>
    </row>
    <row r="16" spans="1:35" x14ac:dyDescent="0.35">
      <c r="A16">
        <v>14</v>
      </c>
      <c r="B16">
        <f>ROUND((Urbà!$J$12/4)*A16,0)</f>
        <v>175000</v>
      </c>
      <c r="C16">
        <f>ROUND((Interurbà!$J$12/4)*A16,0)</f>
        <v>420000</v>
      </c>
      <c r="D16">
        <f ca="1">($B$32+($B$3/100)*$B$26)/(1+Urbà!$M$12)^A16+D15</f>
        <v>-26294.48768343866</v>
      </c>
      <c r="E16">
        <f ca="1">($B$32+($B$4/100)*$B$26)/(1+Urbà!$M$12)^A16+E15</f>
        <v>-15125.495366877305</v>
      </c>
      <c r="F16">
        <f ca="1">($B$32+($B$5/100)*$B$26)/(1+Urbà!$M$12)^A16+F15</f>
        <v>-3956.5030503159687</v>
      </c>
      <c r="G16">
        <f ca="1">($B$32+($B$6/100)*$B$26)/(1+Urbà!$M$12)^A16+G15</f>
        <v>7212.4892662453822</v>
      </c>
      <c r="H16">
        <f ca="1">($B$32+($B$7/100)*$B$26)/(1+Urbà!$M$12)^A16+H15</f>
        <v>18381.481582806729</v>
      </c>
      <c r="I16">
        <f ca="1">($B$32+($B$8/100)*$B$26)/(1+Urbà!$M$12)^A16+I15</f>
        <v>29550.473899368077</v>
      </c>
      <c r="J16">
        <f ca="1">($B$32+($B$9/100)*$B$26)/(1+Urbà!$M$12)^A16+J15</f>
        <v>40719.466215929417</v>
      </c>
      <c r="K16">
        <f ca="1">($B$32+($B$10/100)*$B$26)/(1+Urbà!$M$12)^A16+K15</f>
        <v>51888.458532490768</v>
      </c>
      <c r="L16">
        <f ca="1">($B$33+($B$3/100)*$B$27)/(1+Urbà!$M$12)^A16+L15</f>
        <v>8274.6209799575445</v>
      </c>
      <c r="M16">
        <f ca="1">($B$33+($B$4/100)*$B$27)/(1+Urbà!$M$12)^A16+M15</f>
        <v>17692.721959915089</v>
      </c>
      <c r="N16">
        <f ca="1">($B$33+($B$5/100)*$B$27)/(1+Urbà!$M$12)^A16+N15</f>
        <v>27110.822939872629</v>
      </c>
      <c r="O16">
        <f ca="1">($B$33+($B$6/100)*$B$27)/(1+Urbà!$M$12)^A16+O15</f>
        <v>36528.923919830173</v>
      </c>
      <c r="P16">
        <f ca="1">($B$33+($B$7/100)*$B$27)/(1+Urbà!$M$12)^A16+P15</f>
        <v>45947.024899787721</v>
      </c>
      <c r="Q16">
        <f ca="1">($B$33+($B$8/100)*$B$27)/(1+Urbà!$M$12)^A16+Q15</f>
        <v>55365.125879745261</v>
      </c>
      <c r="R16">
        <f ca="1">($B$33+($B$9/100)*$B$27)/(1+Urbà!$M$12)^A16+R15</f>
        <v>64783.226859702809</v>
      </c>
      <c r="S16">
        <f ca="1">($B$33+($B$10/100)*$B$27)/(1+Urbà!$M$12)^A16+S15</f>
        <v>74201.327839660356</v>
      </c>
      <c r="T16">
        <f ca="1">($B$34+($B$3/100)*$B$28)/(1+Urbà!$M$12)^A16+T15</f>
        <v>-10077.807861243726</v>
      </c>
      <c r="U16">
        <f ca="1">($B$34+($B$4/100)*$B$28)/(1+Urbà!$M$12)^A16+U15</f>
        <v>-7894.1357224874555</v>
      </c>
      <c r="V16">
        <f ca="1">($B$34+($B$5/100)*$B$28)/(1+Urbà!$M$12)^A16+V15</f>
        <v>-5710.4635837311826</v>
      </c>
      <c r="W16">
        <f ca="1">($B$34+($B$6/100)*$B$28)/(1+Urbà!$M$12)^A16+W15</f>
        <v>-3526.791444974906</v>
      </c>
      <c r="X16">
        <f ca="1">($B$34+($B$7/100)*$B$28)/(1+Urbà!$M$12)^A16+X15</f>
        <v>-1343.1193062186333</v>
      </c>
      <c r="Y16">
        <f ca="1">($B$34+($B$8/100)*$B$28)/(1+Urbà!$M$12)^A16+Y15</f>
        <v>840.55283253764082</v>
      </c>
      <c r="Z16">
        <f ca="1">($B$34+($B$9/100)*$B$28)/(1+Urbà!$M$12)^A16+Z15</f>
        <v>3024.2249712939129</v>
      </c>
      <c r="AA16">
        <f ca="1">($B$34+($B$10/100)*$B$28)/(1+Urbà!$M$12)^A16+AA15</f>
        <v>5207.8971100501849</v>
      </c>
      <c r="AB16">
        <f ca="1">($B$35+($B$3/100)*$B$29)/(1+Urbà!$M$12)^A16+AB15</f>
        <v>-21181.738881004207</v>
      </c>
      <c r="AC16">
        <f ca="1">($B$35+($B$4/100)*$B$29)/(1+Urbà!$M$12)^A16+AC15</f>
        <v>-17919.997762008425</v>
      </c>
      <c r="AD16">
        <f ca="1">($B$35+($B$5/100)*$B$29)/(1+Urbà!$M$12)^A16+AD15</f>
        <v>-14658.256643012626</v>
      </c>
      <c r="AE16">
        <f ca="1">($B$35+($B$6/100)*$B$29)/(1+Urbà!$M$12)^A16+AE15</f>
        <v>-11396.515524016833</v>
      </c>
      <c r="AF16">
        <f ca="1">($B$35+($B$7/100)*$B$29)/(1+Urbà!$M$12)^A16+AF15</f>
        <v>-8134.7744050210367</v>
      </c>
      <c r="AG16">
        <f ca="1">($B$35+($B$8/100)*$B$29)/(1+Urbà!$M$12)^A16+AG15</f>
        <v>-4873.0332860252483</v>
      </c>
      <c r="AH16">
        <f ca="1">($B$35+($B$9/100)*$B$29)/(1+Urbà!$M$12)^A16+AH15</f>
        <v>-1611.2921670294536</v>
      </c>
      <c r="AI16">
        <f ca="1">($B$35+($B$10/100)*$B$29)/(1+Urbà!$M$12)^A16+AI15</f>
        <v>1650.4489519663318</v>
      </c>
    </row>
    <row r="17" spans="1:35" x14ac:dyDescent="0.35">
      <c r="A17">
        <v>15</v>
      </c>
      <c r="B17">
        <f>ROUND((Urbà!$J$12/4)*A17,0)</f>
        <v>187500</v>
      </c>
      <c r="C17">
        <f>ROUND((Interurbà!$J$12/4)*A17,0)</f>
        <v>450000</v>
      </c>
      <c r="D17">
        <f ca="1">($B$32+($B$3/100)*$B$26)/(1+Urbà!$M$12)^A17+D16</f>
        <v>-25659.846682950156</v>
      </c>
      <c r="E17">
        <f ca="1">($B$32+($B$4/100)*$B$26)/(1+Urbà!$M$12)^A17+E16</f>
        <v>-13856.213365900296</v>
      </c>
      <c r="F17">
        <f ca="1">($B$32+($B$5/100)*$B$26)/(1+Urbà!$M$12)^A17+F16</f>
        <v>-2052.5800488504547</v>
      </c>
      <c r="G17">
        <f ca="1">($B$32+($B$6/100)*$B$26)/(1+Urbà!$M$12)^A17+G16</f>
        <v>9751.0532681994009</v>
      </c>
      <c r="H17">
        <f ca="1">($B$32+($B$7/100)*$B$26)/(1+Urbà!$M$12)^A17+H16</f>
        <v>21554.686585249252</v>
      </c>
      <c r="I17">
        <f ca="1">($B$32+($B$8/100)*$B$26)/(1+Urbà!$M$12)^A17+I16</f>
        <v>33358.319902299103</v>
      </c>
      <c r="J17">
        <f ca="1">($B$32+($B$9/100)*$B$26)/(1+Urbà!$M$12)^A17+J16</f>
        <v>45161.95321934895</v>
      </c>
      <c r="K17">
        <f ca="1">($B$32+($B$10/100)*$B$26)/(1+Urbà!$M$12)^A17+K16</f>
        <v>56965.586536398805</v>
      </c>
      <c r="L17">
        <f ca="1">($B$33+($B$3/100)*$B$27)/(1+Urbà!$M$12)^A17+L16</f>
        <v>8809.7733785995588</v>
      </c>
      <c r="M17">
        <f ca="1">($B$33+($B$4/100)*$B$27)/(1+Urbà!$M$12)^A17+M16</f>
        <v>18763.026757199113</v>
      </c>
      <c r="N17">
        <f ca="1">($B$33+($B$5/100)*$B$27)/(1+Urbà!$M$12)^A17+N16</f>
        <v>28716.280135798668</v>
      </c>
      <c r="O17">
        <f ca="1">($B$33+($B$6/100)*$B$27)/(1+Urbà!$M$12)^A17+O16</f>
        <v>38669.533514398223</v>
      </c>
      <c r="P17">
        <f ca="1">($B$33+($B$7/100)*$B$27)/(1+Urbà!$M$12)^A17+P16</f>
        <v>48622.786892997785</v>
      </c>
      <c r="Q17">
        <f ca="1">($B$33+($B$8/100)*$B$27)/(1+Urbà!$M$12)^A17+Q16</f>
        <v>58576.04027159734</v>
      </c>
      <c r="R17">
        <f ca="1">($B$33+($B$9/100)*$B$27)/(1+Urbà!$M$12)^A17+R16</f>
        <v>68529.293650196909</v>
      </c>
      <c r="S17">
        <f ca="1">($B$33+($B$10/100)*$B$27)/(1+Urbà!$M$12)^A17+S16</f>
        <v>78482.547028796456</v>
      </c>
      <c r="T17">
        <f ca="1">($B$34+($B$3/100)*$B$28)/(1+Urbà!$M$12)^A17+T16</f>
        <v>-9953.7279235375972</v>
      </c>
      <c r="U17">
        <f ca="1">($B$34+($B$4/100)*$B$28)/(1+Urbà!$M$12)^A17+U16</f>
        <v>-7645.9758470751995</v>
      </c>
      <c r="V17">
        <f ca="1">($B$34+($B$5/100)*$B$28)/(1+Urbà!$M$12)^A17+V16</f>
        <v>-5338.2237706127989</v>
      </c>
      <c r="W17">
        <f ca="1">($B$34+($B$6/100)*$B$28)/(1+Urbà!$M$12)^A17+W16</f>
        <v>-3030.4716941503939</v>
      </c>
      <c r="X17">
        <f ca="1">($B$34+($B$7/100)*$B$28)/(1+Urbà!$M$12)^A17+X16</f>
        <v>-722.71961768799338</v>
      </c>
      <c r="Y17">
        <f ca="1">($B$34+($B$8/100)*$B$28)/(1+Urbà!$M$12)^A17+Y16</f>
        <v>1585.0324587744087</v>
      </c>
      <c r="Z17">
        <f ca="1">($B$34+($B$9/100)*$B$28)/(1+Urbà!$M$12)^A17+Z16</f>
        <v>3892.7845352368086</v>
      </c>
      <c r="AA17">
        <f ca="1">($B$34+($B$10/100)*$B$28)/(1+Urbà!$M$12)^A17+AA16</f>
        <v>6200.5366116992091</v>
      </c>
      <c r="AB17">
        <f ca="1">($B$35+($B$3/100)*$B$29)/(1+Urbà!$M$12)^A17+AB16</f>
        <v>-20996.401243693403</v>
      </c>
      <c r="AC17">
        <f ca="1">($B$35+($B$4/100)*$B$29)/(1+Urbà!$M$12)^A17+AC16</f>
        <v>-17549.32248738682</v>
      </c>
      <c r="AD17">
        <f ca="1">($B$35+($B$5/100)*$B$29)/(1+Urbà!$M$12)^A17+AD16</f>
        <v>-14102.24373108022</v>
      </c>
      <c r="AE17">
        <f ca="1">($B$35+($B$6/100)*$B$29)/(1+Urbà!$M$12)^A17+AE16</f>
        <v>-10655.164974773625</v>
      </c>
      <c r="AF17">
        <f ca="1">($B$35+($B$7/100)*$B$29)/(1+Urbà!$M$12)^A17+AF16</f>
        <v>-7208.0862184670259</v>
      </c>
      <c r="AG17">
        <f ca="1">($B$35+($B$8/100)*$B$29)/(1+Urbà!$M$12)^A17+AG16</f>
        <v>-3761.0074621604344</v>
      </c>
      <c r="AH17">
        <f ca="1">($B$35+($B$9/100)*$B$29)/(1+Urbà!$M$12)^A17+AH16</f>
        <v>-313.92870585383776</v>
      </c>
      <c r="AI17">
        <f ca="1">($B$35+($B$10/100)*$B$29)/(1+Urbà!$M$12)^A17+AI16</f>
        <v>3133.1500504527503</v>
      </c>
    </row>
    <row r="18" spans="1:35" x14ac:dyDescent="0.35">
      <c r="A18">
        <v>16</v>
      </c>
      <c r="B18">
        <f>ROUND((Urbà!$J$12/4)*A18,0)</f>
        <v>200000</v>
      </c>
      <c r="C18">
        <f>ROUND((Interurbà!$J$12/4)*A18,0)</f>
        <v>480000</v>
      </c>
      <c r="D18">
        <f ca="1">($B$32+($B$3/100)*$B$26)/(1+Urbà!$M$12)^A18+D17</f>
        <v>-25043.690371796267</v>
      </c>
      <c r="E18">
        <f ca="1">($B$32+($B$4/100)*$B$26)/(1+Urbà!$M$12)^A18+E17</f>
        <v>-12623.90074359252</v>
      </c>
      <c r="F18">
        <f ca="1">($B$32+($B$5/100)*$B$26)/(1+Urbà!$M$12)^A18+F17</f>
        <v>-204.11111538879049</v>
      </c>
      <c r="G18">
        <f ca="1">($B$32+($B$6/100)*$B$26)/(1+Urbà!$M$12)^A18+G17</f>
        <v>12215.678512814953</v>
      </c>
      <c r="H18">
        <f ca="1">($B$32+($B$7/100)*$B$26)/(1+Urbà!$M$12)^A18+H17</f>
        <v>24635.468141018693</v>
      </c>
      <c r="I18">
        <f ca="1">($B$32+($B$8/100)*$B$26)/(1+Urbà!$M$12)^A18+I17</f>
        <v>37055.257769222429</v>
      </c>
      <c r="J18">
        <f ca="1">($B$32+($B$9/100)*$B$26)/(1+Urbà!$M$12)^A18+J17</f>
        <v>49475.047397426169</v>
      </c>
      <c r="K18">
        <f ca="1">($B$32+($B$10/100)*$B$26)/(1+Urbà!$M$12)^A18+K17</f>
        <v>61894.837025629909</v>
      </c>
      <c r="L18">
        <f ca="1">($B$33+($B$3/100)*$B$27)/(1+Urbà!$M$12)^A18+L17</f>
        <v>9329.3388141743289</v>
      </c>
      <c r="M18">
        <f ca="1">($B$33+($B$4/100)*$B$27)/(1+Urbà!$M$12)^A18+M17</f>
        <v>19802.157628348654</v>
      </c>
      <c r="N18">
        <f ca="1">($B$33+($B$5/100)*$B$27)/(1+Urbà!$M$12)^A18+N17</f>
        <v>30274.976442522981</v>
      </c>
      <c r="O18">
        <f ca="1">($B$33+($B$6/100)*$B$27)/(1+Urbà!$M$12)^A18+O17</f>
        <v>40747.795256697304</v>
      </c>
      <c r="P18">
        <f ca="1">($B$33+($B$7/100)*$B$27)/(1+Urbà!$M$12)^A18+P17</f>
        <v>51220.614070871634</v>
      </c>
      <c r="Q18">
        <f ca="1">($B$33+($B$8/100)*$B$27)/(1+Urbà!$M$12)^A18+Q17</f>
        <v>61693.432885045964</v>
      </c>
      <c r="R18">
        <f ca="1">($B$33+($B$9/100)*$B$27)/(1+Urbà!$M$12)^A18+R17</f>
        <v>72166.251699220302</v>
      </c>
      <c r="S18">
        <f ca="1">($B$33+($B$10/100)*$B$27)/(1+Urbà!$M$12)^A18+S17</f>
        <v>82639.070513394618</v>
      </c>
      <c r="T18">
        <f ca="1">($B$34+($B$3/100)*$B$28)/(1+Urbà!$M$12)^A18+T17</f>
        <v>-9833.2619645996092</v>
      </c>
      <c r="U18">
        <f ca="1">($B$34+($B$4/100)*$B$28)/(1+Urbà!$M$12)^A18+U17</f>
        <v>-7405.0439291992225</v>
      </c>
      <c r="V18">
        <f ca="1">($B$34+($B$5/100)*$B$28)/(1+Urbà!$M$12)^A18+V17</f>
        <v>-4976.8258937988339</v>
      </c>
      <c r="W18">
        <f ca="1">($B$34+($B$6/100)*$B$28)/(1+Urbà!$M$12)^A18+W17</f>
        <v>-2548.6078583984404</v>
      </c>
      <c r="X18">
        <f ca="1">($B$34+($B$7/100)*$B$28)/(1+Urbà!$M$12)^A18+X17</f>
        <v>-120.38982299805161</v>
      </c>
      <c r="Y18">
        <f ca="1">($B$34+($B$8/100)*$B$28)/(1+Urbà!$M$12)^A18+Y17</f>
        <v>2307.828212402339</v>
      </c>
      <c r="Z18">
        <f ca="1">($B$34+($B$9/100)*$B$28)/(1+Urbà!$M$12)^A18+Z17</f>
        <v>4736.0462478027275</v>
      </c>
      <c r="AA18">
        <f ca="1">($B$34+($B$10/100)*$B$28)/(1+Urbà!$M$12)^A18+AA17</f>
        <v>7164.2642832031161</v>
      </c>
      <c r="AB18">
        <f ca="1">($B$35+($B$3/100)*$B$29)/(1+Urbà!$M$12)^A18+AB17</f>
        <v>-20816.461789993595</v>
      </c>
      <c r="AC18">
        <f ca="1">($B$35+($B$4/100)*$B$29)/(1+Urbà!$M$12)^A18+AC17</f>
        <v>-17189.443579987204</v>
      </c>
      <c r="AD18">
        <f ca="1">($B$35+($B$5/100)*$B$29)/(1+Urbà!$M$12)^A18+AD17</f>
        <v>-13562.425369980796</v>
      </c>
      <c r="AE18">
        <f ca="1">($B$35+($B$6/100)*$B$29)/(1+Urbà!$M$12)^A18+AE17</f>
        <v>-9935.4071599743929</v>
      </c>
      <c r="AF18">
        <f ca="1">($B$35+($B$7/100)*$B$29)/(1+Urbà!$M$12)^A18+AF17</f>
        <v>-6308.3889499679854</v>
      </c>
      <c r="AG18">
        <f ca="1">($B$35+($B$8/100)*$B$29)/(1+Urbà!$M$12)^A18+AG17</f>
        <v>-2681.370739961586</v>
      </c>
      <c r="AH18">
        <f ca="1">($B$35+($B$9/100)*$B$29)/(1+Urbà!$M$12)^A18+AH17</f>
        <v>945.64747004481865</v>
      </c>
      <c r="AI18">
        <f ca="1">($B$35+($B$10/100)*$B$29)/(1+Urbà!$M$12)^A18+AI17</f>
        <v>4572.6656800512146</v>
      </c>
    </row>
    <row r="19" spans="1:35" x14ac:dyDescent="0.35">
      <c r="A19">
        <v>17</v>
      </c>
      <c r="B19">
        <f>ROUND((Urbà!$J$12/4)*A19,0)</f>
        <v>212500</v>
      </c>
      <c r="C19">
        <f>ROUND((Interurbà!$J$12/4)*A19,0)</f>
        <v>510000</v>
      </c>
      <c r="D19">
        <f ca="1">($B$32+($B$3/100)*$B$26)/(1+Urbà!$M$12)^A19+D18</f>
        <v>-24445.480360967249</v>
      </c>
      <c r="E19">
        <f ca="1">($B$32+($B$4/100)*$B$26)/(1+Urbà!$M$12)^A19+E18</f>
        <v>-11427.480721934484</v>
      </c>
      <c r="F19">
        <f ca="1">($B$32+($B$5/100)*$B$26)/(1+Urbà!$M$12)^A19+F18</f>
        <v>1590.5189170982621</v>
      </c>
      <c r="G19">
        <f ca="1">($B$32+($B$6/100)*$B$26)/(1+Urbà!$M$12)^A19+G18</f>
        <v>14608.518556131023</v>
      </c>
      <c r="H19">
        <f ca="1">($B$32+($B$7/100)*$B$26)/(1+Urbà!$M$12)^A19+H18</f>
        <v>27626.518195163782</v>
      </c>
      <c r="I19">
        <f ca="1">($B$32+($B$8/100)*$B$26)/(1+Urbà!$M$12)^A19+I18</f>
        <v>40644.517834196537</v>
      </c>
      <c r="J19">
        <f ca="1">($B$32+($B$9/100)*$B$26)/(1+Urbà!$M$12)^A19+J18</f>
        <v>53662.517473229294</v>
      </c>
      <c r="K19">
        <f ca="1">($B$32+($B$10/100)*$B$26)/(1+Urbà!$M$12)^A19+K18</f>
        <v>66680.517112262052</v>
      </c>
      <c r="L19">
        <f ca="1">($B$33+($B$3/100)*$B$27)/(1+Urbà!$M$12)^A19+L18</f>
        <v>9833.7712758974067</v>
      </c>
      <c r="M19">
        <f ca="1">($B$33+($B$4/100)*$B$27)/(1+Urbà!$M$12)^A19+M18</f>
        <v>20811.022551794809</v>
      </c>
      <c r="N19">
        <f ca="1">($B$33+($B$5/100)*$B$27)/(1+Urbà!$M$12)^A19+N18</f>
        <v>31788.273827692214</v>
      </c>
      <c r="O19">
        <f ca="1">($B$33+($B$6/100)*$B$27)/(1+Urbà!$M$12)^A19+O18</f>
        <v>42765.525103589614</v>
      </c>
      <c r="P19">
        <f ca="1">($B$33+($B$7/100)*$B$27)/(1+Urbà!$M$12)^A19+P18</f>
        <v>53742.776379487026</v>
      </c>
      <c r="Q19">
        <f ca="1">($B$33+($B$8/100)*$B$27)/(1+Urbà!$M$12)^A19+Q18</f>
        <v>64720.027655384431</v>
      </c>
      <c r="R19">
        <f ca="1">($B$33+($B$9/100)*$B$27)/(1+Urbà!$M$12)^A19+R18</f>
        <v>75697.27893128185</v>
      </c>
      <c r="S19">
        <f ca="1">($B$33+($B$10/100)*$B$27)/(1+Urbà!$M$12)^A19+S18</f>
        <v>86674.530207179239</v>
      </c>
      <c r="T19">
        <f ca="1">($B$34+($B$3/100)*$B$28)/(1+Urbà!$M$12)^A19+T18</f>
        <v>-9716.3047229122421</v>
      </c>
      <c r="U19">
        <f ca="1">($B$34+($B$4/100)*$B$28)/(1+Urbà!$M$12)^A19+U18</f>
        <v>-7171.1294458244874</v>
      </c>
      <c r="V19">
        <f ca="1">($B$34+($B$5/100)*$B$28)/(1+Urbà!$M$12)^A19+V18</f>
        <v>-4625.9541687367318</v>
      </c>
      <c r="W19">
        <f ca="1">($B$34+($B$6/100)*$B$28)/(1+Urbà!$M$12)^A19+W18</f>
        <v>-2080.7788916489708</v>
      </c>
      <c r="X19">
        <f ca="1">($B$34+($B$7/100)*$B$28)/(1+Urbà!$M$12)^A19+X18</f>
        <v>464.39638543878505</v>
      </c>
      <c r="Y19">
        <f ca="1">($B$34+($B$8/100)*$B$28)/(1+Urbà!$M$12)^A19+Y18</f>
        <v>3009.5716625265432</v>
      </c>
      <c r="Z19">
        <f ca="1">($B$34+($B$9/100)*$B$28)/(1+Urbà!$M$12)^A19+Z18</f>
        <v>5554.7469396142988</v>
      </c>
      <c r="AA19">
        <f ca="1">($B$34+($B$10/100)*$B$28)/(1+Urbà!$M$12)^A19+AA18</f>
        <v>8099.9222167020544</v>
      </c>
      <c r="AB19">
        <f ca="1">($B$35+($B$3/100)*$B$29)/(1+Urbà!$M$12)^A19+AB18</f>
        <v>-20641.763291255917</v>
      </c>
      <c r="AC19">
        <f ca="1">($B$35+($B$4/100)*$B$29)/(1+Urbà!$M$12)^A19+AC18</f>
        <v>-16840.046582511848</v>
      </c>
      <c r="AD19">
        <f ca="1">($B$35+($B$5/100)*$B$29)/(1+Urbà!$M$12)^A19+AD18</f>
        <v>-13038.329873767763</v>
      </c>
      <c r="AE19">
        <f ca="1">($B$35+($B$6/100)*$B$29)/(1+Urbà!$M$12)^A19+AE18</f>
        <v>-9236.6131650236821</v>
      </c>
      <c r="AF19">
        <f ca="1">($B$35+($B$7/100)*$B$29)/(1+Urbà!$M$12)^A19+AF18</f>
        <v>-5434.8964562795973</v>
      </c>
      <c r="AG19">
        <f ca="1">($B$35+($B$8/100)*$B$29)/(1+Urbà!$M$12)^A19+AG18</f>
        <v>-1633.1797475355195</v>
      </c>
      <c r="AH19">
        <f ca="1">($B$35+($B$9/100)*$B$29)/(1+Urbà!$M$12)^A19+AH18</f>
        <v>2168.5369612085628</v>
      </c>
      <c r="AI19">
        <f ca="1">($B$35+($B$10/100)*$B$29)/(1+Urbà!$M$12)^A19+AI18</f>
        <v>5970.2536699526363</v>
      </c>
    </row>
    <row r="20" spans="1:35" x14ac:dyDescent="0.35">
      <c r="A20">
        <v>18</v>
      </c>
      <c r="B20">
        <f>ROUND((Urbà!$J$12/4)*A20,0)</f>
        <v>225000</v>
      </c>
      <c r="C20">
        <f>ROUND((Interurbà!$J$12/4)*A20,0)</f>
        <v>540000</v>
      </c>
      <c r="D20">
        <f ca="1">($B$32+($B$3/100)*$B$26)/(1+Urbà!$M$12)^A20+D19</f>
        <v>-23864.693942686648</v>
      </c>
      <c r="E20">
        <f ca="1">($B$32+($B$4/100)*$B$26)/(1+Urbà!$M$12)^A20+E19</f>
        <v>-10265.907885373284</v>
      </c>
      <c r="F20">
        <f ca="1">($B$32+($B$5/100)*$B$26)/(1+Urbà!$M$12)^A20+F19</f>
        <v>3332.8781719400608</v>
      </c>
      <c r="G20">
        <f ca="1">($B$32+($B$6/100)*$B$26)/(1+Urbà!$M$12)^A20+G19</f>
        <v>16931.66422925342</v>
      </c>
      <c r="H20">
        <f ca="1">($B$32+($B$7/100)*$B$26)/(1+Urbà!$M$12)^A20+H19</f>
        <v>30530.450286566782</v>
      </c>
      <c r="I20">
        <f ca="1">($B$32+($B$8/100)*$B$26)/(1+Urbà!$M$12)^A20+I19</f>
        <v>44129.236343880133</v>
      </c>
      <c r="J20">
        <f ca="1">($B$32+($B$9/100)*$B$26)/(1+Urbà!$M$12)^A20+J19</f>
        <v>57728.022401193492</v>
      </c>
      <c r="K20">
        <f ca="1">($B$32+($B$10/100)*$B$26)/(1+Urbà!$M$12)^A20+K19</f>
        <v>71326.808458506843</v>
      </c>
      <c r="L20">
        <f ca="1">($B$33+($B$3/100)*$B$27)/(1+Urbà!$M$12)^A20+L19</f>
        <v>10323.511529997482</v>
      </c>
      <c r="M20">
        <f ca="1">($B$33+($B$4/100)*$B$27)/(1+Urbà!$M$12)^A20+M19</f>
        <v>21790.50305999496</v>
      </c>
      <c r="N20">
        <f ca="1">($B$33+($B$5/100)*$B$27)/(1+Urbà!$M$12)^A20+N19</f>
        <v>33257.494589992442</v>
      </c>
      <c r="O20">
        <f ca="1">($B$33+($B$6/100)*$B$27)/(1+Urbà!$M$12)^A20+O19</f>
        <v>44724.486119989917</v>
      </c>
      <c r="P20">
        <f ca="1">($B$33+($B$7/100)*$B$27)/(1+Urbà!$M$12)^A20+P19</f>
        <v>56191.477649987406</v>
      </c>
      <c r="Q20">
        <f ca="1">($B$33+($B$8/100)*$B$27)/(1+Urbà!$M$12)^A20+Q19</f>
        <v>67658.469179984881</v>
      </c>
      <c r="R20">
        <f ca="1">($B$33+($B$9/100)*$B$27)/(1+Urbà!$M$12)^A20+R19</f>
        <v>79125.460709982377</v>
      </c>
      <c r="S20">
        <f ca="1">($B$33+($B$10/100)*$B$27)/(1+Urbà!$M$12)^A20+S19</f>
        <v>90592.452239979844</v>
      </c>
      <c r="T20">
        <f ca="1">($B$34+($B$3/100)*$B$28)/(1+Urbà!$M$12)^A20+T19</f>
        <v>-9602.7540028274198</v>
      </c>
      <c r="U20">
        <f ca="1">($B$34+($B$4/100)*$B$28)/(1+Urbà!$M$12)^A20+U19</f>
        <v>-6944.0280056548418</v>
      </c>
      <c r="V20">
        <f ca="1">($B$34+($B$5/100)*$B$28)/(1+Urbà!$M$12)^A20+V19</f>
        <v>-4285.3020084822638</v>
      </c>
      <c r="W20">
        <f ca="1">($B$34+($B$6/100)*$B$28)/(1+Urbà!$M$12)^A20+W19</f>
        <v>-1626.5760113096801</v>
      </c>
      <c r="X20">
        <f ca="1">($B$34+($B$7/100)*$B$28)/(1+Urbà!$M$12)^A20+X19</f>
        <v>1032.1499858628983</v>
      </c>
      <c r="Y20">
        <f ca="1">($B$34+($B$8/100)*$B$28)/(1+Urbà!$M$12)^A20+Y19</f>
        <v>3690.8759830354793</v>
      </c>
      <c r="Z20">
        <f ca="1">($B$34+($B$9/100)*$B$28)/(1+Urbà!$M$12)^A20+Z19</f>
        <v>6349.6019802080573</v>
      </c>
      <c r="AA20">
        <f ca="1">($B$34+($B$10/100)*$B$28)/(1+Urbà!$M$12)^A20+AA19</f>
        <v>9008.3279773806353</v>
      </c>
      <c r="AB20">
        <f ca="1">($B$35+($B$3/100)*$B$29)/(1+Urbà!$M$12)^A20+AB19</f>
        <v>-20472.153098306713</v>
      </c>
      <c r="AC20">
        <f ca="1">($B$35+($B$4/100)*$B$29)/(1+Urbà!$M$12)^A20+AC19</f>
        <v>-16500.826196613445</v>
      </c>
      <c r="AD20">
        <f ca="1">($B$35+($B$5/100)*$B$29)/(1+Urbà!$M$12)^A20+AD19</f>
        <v>-12529.499294920159</v>
      </c>
      <c r="AE20">
        <f ca="1">($B$35+($B$6/100)*$B$29)/(1+Urbà!$M$12)^A20+AE19</f>
        <v>-8558.172393226876</v>
      </c>
      <c r="AF20">
        <f ca="1">($B$35+($B$7/100)*$B$29)/(1+Urbà!$M$12)^A20+AF19</f>
        <v>-4586.8454915335888</v>
      </c>
      <c r="AG20">
        <f ca="1">($B$35+($B$8/100)*$B$29)/(1+Urbà!$M$12)^A20+AG19</f>
        <v>-615.51858984030935</v>
      </c>
      <c r="AH20">
        <f ca="1">($B$35+($B$9/100)*$B$29)/(1+Urbà!$M$12)^A20+AH19</f>
        <v>3355.8083118529748</v>
      </c>
      <c r="AI20">
        <f ca="1">($B$35+($B$10/100)*$B$29)/(1+Urbà!$M$12)^A20+AI19</f>
        <v>7327.1352135462494</v>
      </c>
    </row>
    <row r="21" spans="1:35" x14ac:dyDescent="0.35">
      <c r="A21">
        <v>19</v>
      </c>
      <c r="B21">
        <f>ROUND((Urbà!$J$12/4)*A21,0)</f>
        <v>237500</v>
      </c>
      <c r="C21">
        <f>ROUND((Interurbà!$J$12/4)*A21,0)</f>
        <v>570000</v>
      </c>
      <c r="D21">
        <f ca="1">($B$32+($B$3/100)*$B$26)/(1+Urbà!$M$12)^A21+D20</f>
        <v>-23300.823633676358</v>
      </c>
      <c r="E21">
        <f ca="1">($B$32+($B$4/100)*$B$26)/(1+Urbà!$M$12)^A21+E20</f>
        <v>-9138.1672673527028</v>
      </c>
      <c r="F21">
        <f ca="1">($B$32+($B$5/100)*$B$26)/(1+Urbà!$M$12)^A21+F20</f>
        <v>5024.4890989709329</v>
      </c>
      <c r="G21">
        <f ca="1">($B$32+($B$6/100)*$B$26)/(1+Urbà!$M$12)^A21+G20</f>
        <v>19187.145465294583</v>
      </c>
      <c r="H21">
        <f ca="1">($B$32+($B$7/100)*$B$26)/(1+Urbà!$M$12)^A21+H20</f>
        <v>33349.801831618235</v>
      </c>
      <c r="I21">
        <f ca="1">($B$32+($B$8/100)*$B$26)/(1+Urbà!$M$12)^A21+I20</f>
        <v>47512.45819794188</v>
      </c>
      <c r="J21">
        <f ca="1">($B$32+($B$9/100)*$B$26)/(1+Urbà!$M$12)^A21+J20</f>
        <v>61675.114564265525</v>
      </c>
      <c r="K21">
        <f ca="1">($B$32+($B$10/100)*$B$26)/(1+Urbà!$M$12)^A21+K20</f>
        <v>75837.770930589177</v>
      </c>
      <c r="L21">
        <f ca="1">($B$33+($B$3/100)*$B$27)/(1+Urbà!$M$12)^A21+L20</f>
        <v>10798.987504851924</v>
      </c>
      <c r="M21">
        <f ca="1">($B$33+($B$4/100)*$B$27)/(1+Urbà!$M$12)^A21+M20</f>
        <v>22741.455009703845</v>
      </c>
      <c r="N21">
        <f ca="1">($B$33+($B$5/100)*$B$27)/(1+Urbà!$M$12)^A21+N20</f>
        <v>34683.922514555772</v>
      </c>
      <c r="O21">
        <f ca="1">($B$33+($B$6/100)*$B$27)/(1+Urbà!$M$12)^A21+O20</f>
        <v>46626.390019407685</v>
      </c>
      <c r="P21">
        <f ca="1">($B$33+($B$7/100)*$B$27)/(1+Urbà!$M$12)^A21+P20</f>
        <v>58568.85752425962</v>
      </c>
      <c r="Q21">
        <f ca="1">($B$33+($B$8/100)*$B$27)/(1+Urbà!$M$12)^A21+Q20</f>
        <v>70511.32502911154</v>
      </c>
      <c r="R21">
        <f ca="1">($B$33+($B$9/100)*$B$27)/(1+Urbà!$M$12)^A21+R20</f>
        <v>82453.792533963468</v>
      </c>
      <c r="S21">
        <f ca="1">($B$33+($B$10/100)*$B$27)/(1+Urbà!$M$12)^A21+S20</f>
        <v>94396.260038815381</v>
      </c>
      <c r="T21">
        <f ca="1">($B$34+($B$3/100)*$B$28)/(1+Urbà!$M$12)^A21+T20</f>
        <v>-9492.5105852693396</v>
      </c>
      <c r="U21">
        <f ca="1">($B$34+($B$4/100)*$B$28)/(1+Urbà!$M$12)^A21+U20</f>
        <v>-6723.5411705386814</v>
      </c>
      <c r="V21">
        <f ca="1">($B$34+($B$5/100)*$B$28)/(1+Urbà!$M$12)^A21+V20</f>
        <v>-3954.5717558080232</v>
      </c>
      <c r="W21">
        <f ca="1">($B$34+($B$6/100)*$B$28)/(1+Urbà!$M$12)^A21+W20</f>
        <v>-1185.6023410773591</v>
      </c>
      <c r="X21">
        <f ca="1">($B$34+($B$7/100)*$B$28)/(1+Urbà!$M$12)^A21+X20</f>
        <v>1583.3670736532995</v>
      </c>
      <c r="Y21">
        <f ca="1">($B$34+($B$8/100)*$B$28)/(1+Urbà!$M$12)^A21+Y20</f>
        <v>4352.3364883839604</v>
      </c>
      <c r="Z21">
        <f ca="1">($B$34+($B$9/100)*$B$28)/(1+Urbà!$M$12)^A21+Z20</f>
        <v>7121.3059031146186</v>
      </c>
      <c r="AA21">
        <f ca="1">($B$34+($B$10/100)*$B$28)/(1+Urbà!$M$12)^A21+AA20</f>
        <v>9890.2753178452767</v>
      </c>
      <c r="AB21">
        <f ca="1">($B$35+($B$3/100)*$B$29)/(1+Urbà!$M$12)^A21+AB20</f>
        <v>-20307.48300806477</v>
      </c>
      <c r="AC21">
        <f ca="1">($B$35+($B$4/100)*$B$29)/(1+Urbà!$M$12)^A21+AC20</f>
        <v>-16171.486016129558</v>
      </c>
      <c r="AD21">
        <f ca="1">($B$35+($B$5/100)*$B$29)/(1+Urbà!$M$12)^A21+AD20</f>
        <v>-12035.489024194329</v>
      </c>
      <c r="AE21">
        <f ca="1">($B$35+($B$6/100)*$B$29)/(1+Urbà!$M$12)^A21+AE20</f>
        <v>-7899.4920322591024</v>
      </c>
      <c r="AF21">
        <f ca="1">($B$35+($B$7/100)*$B$29)/(1+Urbà!$M$12)^A21+AF20</f>
        <v>-3763.4950403238718</v>
      </c>
      <c r="AG21">
        <f ca="1">($B$35+($B$8/100)*$B$29)/(1+Urbà!$M$12)^A21+AG20</f>
        <v>372.50195161135093</v>
      </c>
      <c r="AH21">
        <f ca="1">($B$35+($B$9/100)*$B$29)/(1+Urbà!$M$12)^A21+AH20</f>
        <v>4508.4989435465786</v>
      </c>
      <c r="AI21">
        <f ca="1">($B$35+($B$10/100)*$B$29)/(1+Urbà!$M$12)^A21+AI20</f>
        <v>8644.4959354817966</v>
      </c>
    </row>
    <row r="22" spans="1:35" x14ac:dyDescent="0.35">
      <c r="A22">
        <v>20</v>
      </c>
      <c r="B22">
        <f>ROUND((Urbà!$J$12/4)*A22,0)</f>
        <v>250000</v>
      </c>
      <c r="C22">
        <f>ROUND((Interurbà!$J$12/4)*A22,0)</f>
        <v>600000</v>
      </c>
      <c r="D22">
        <f ca="1">($B$32+($B$3/100)*$B$26)/(1+Urbà!$M$12)^A22+D21</f>
        <v>-22753.37673172462</v>
      </c>
      <c r="E22">
        <f ca="1">($B$32+($B$4/100)*$B$26)/(1+Urbà!$M$12)^A22+E21</f>
        <v>-8043.2734634492253</v>
      </c>
      <c r="F22">
        <f ca="1">($B$32+($B$5/100)*$B$26)/(1+Urbà!$M$12)^A22+F21</f>
        <v>6666.8298048261495</v>
      </c>
      <c r="G22">
        <f ca="1">($B$32+($B$6/100)*$B$26)/(1+Urbà!$M$12)^A22+G21</f>
        <v>21376.933073101536</v>
      </c>
      <c r="H22">
        <f ca="1">($B$32+($B$7/100)*$B$26)/(1+Urbà!$M$12)^A22+H21</f>
        <v>36087.03634137693</v>
      </c>
      <c r="I22">
        <f ca="1">($B$32+($B$8/100)*$B$26)/(1+Urbà!$M$12)^A22+I21</f>
        <v>50797.139609652309</v>
      </c>
      <c r="J22">
        <f ca="1">($B$32+($B$9/100)*$B$26)/(1+Urbà!$M$12)^A22+J21</f>
        <v>65507.242877927696</v>
      </c>
      <c r="K22">
        <f ca="1">($B$32+($B$10/100)*$B$26)/(1+Urbà!$M$12)^A22+K21</f>
        <v>80217.346146203083</v>
      </c>
      <c r="L22">
        <f ca="1">($B$33+($B$3/100)*$B$27)/(1+Urbà!$M$12)^A22+L21</f>
        <v>11260.614664904781</v>
      </c>
      <c r="M22">
        <f ca="1">($B$33+($B$4/100)*$B$27)/(1+Urbà!$M$12)^A22+M21</f>
        <v>23664.709329809557</v>
      </c>
      <c r="N22">
        <f ca="1">($B$33+($B$5/100)*$B$27)/(1+Urbà!$M$12)^A22+N21</f>
        <v>36068.803994714341</v>
      </c>
      <c r="O22">
        <f ca="1">($B$33+($B$6/100)*$B$27)/(1+Urbà!$M$12)^A22+O21</f>
        <v>48472.89865961911</v>
      </c>
      <c r="P22">
        <f ca="1">($B$33+($B$7/100)*$B$27)/(1+Urbà!$M$12)^A22+P21</f>
        <v>60876.993324523901</v>
      </c>
      <c r="Q22">
        <f ca="1">($B$33+($B$8/100)*$B$27)/(1+Urbà!$M$12)^A22+Q21</f>
        <v>73281.087989428677</v>
      </c>
      <c r="R22">
        <f ca="1">($B$33+($B$9/100)*$B$27)/(1+Urbà!$M$12)^A22+R21</f>
        <v>85685.182654333461</v>
      </c>
      <c r="S22">
        <f ca="1">($B$33+($B$10/100)*$B$27)/(1+Urbà!$M$12)^A22+S21</f>
        <v>98089.27731923823</v>
      </c>
      <c r="T22">
        <f ca="1">($B$34+($B$3/100)*$B$28)/(1+Urbà!$M$12)^A22+T21</f>
        <v>-9385.4781410381929</v>
      </c>
      <c r="U22">
        <f ca="1">($B$34+($B$4/100)*$B$28)/(1+Urbà!$M$12)^A22+U21</f>
        <v>-6509.4762820763899</v>
      </c>
      <c r="V22">
        <f ca="1">($B$34+($B$5/100)*$B$28)/(1+Urbà!$M$12)^A22+V21</f>
        <v>-3633.4744231145855</v>
      </c>
      <c r="W22">
        <f ca="1">($B$34+($B$6/100)*$B$28)/(1+Urbà!$M$12)^A22+W21</f>
        <v>-757.4725641527757</v>
      </c>
      <c r="X22">
        <f ca="1">($B$34+($B$7/100)*$B$28)/(1+Urbà!$M$12)^A22+X21</f>
        <v>2118.5292948090291</v>
      </c>
      <c r="Y22">
        <f ca="1">($B$34+($B$8/100)*$B$28)/(1+Urbà!$M$12)^A22+Y21</f>
        <v>4994.5311537708358</v>
      </c>
      <c r="Z22">
        <f ca="1">($B$34+($B$9/100)*$B$28)/(1+Urbà!$M$12)^A22+Z21</f>
        <v>7870.5330127326397</v>
      </c>
      <c r="AA22">
        <f ca="1">($B$34+($B$10/100)*$B$28)/(1+Urbà!$M$12)^A22+AA21</f>
        <v>10746.534871694445</v>
      </c>
      <c r="AB22">
        <f ca="1">($B$35+($B$3/100)*$B$29)/(1+Urbà!$M$12)^A22+AB21</f>
        <v>-20147.609134043465</v>
      </c>
      <c r="AC22">
        <f ca="1">($B$35+($B$4/100)*$B$29)/(1+Urbà!$M$12)^A22+AC21</f>
        <v>-15851.73826808695</v>
      </c>
      <c r="AD22">
        <f ca="1">($B$35+($B$5/100)*$B$29)/(1+Urbà!$M$12)^A22+AD21</f>
        <v>-11555.867402130416</v>
      </c>
      <c r="AE22">
        <f ca="1">($B$35+($B$6/100)*$B$29)/(1+Urbà!$M$12)^A22+AE21</f>
        <v>-7259.996536173885</v>
      </c>
      <c r="AF22">
        <f ca="1">($B$35+($B$7/100)*$B$29)/(1+Urbà!$M$12)^A22+AF21</f>
        <v>-2964.1256702173505</v>
      </c>
      <c r="AG22">
        <f ca="1">($B$35+($B$8/100)*$B$29)/(1+Urbà!$M$12)^A22+AG21</f>
        <v>1331.7451957391766</v>
      </c>
      <c r="AH22">
        <f ca="1">($B$35+($B$9/100)*$B$29)/(1+Urbà!$M$12)^A22+AH21</f>
        <v>5627.6160616957086</v>
      </c>
      <c r="AI22">
        <f ca="1">($B$35+($B$10/100)*$B$29)/(1+Urbà!$M$12)^A22+AI21</f>
        <v>9923.4869276522313</v>
      </c>
    </row>
    <row r="23" spans="1:35" x14ac:dyDescent="0.35"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</row>
    <row r="25" spans="1:35" x14ac:dyDescent="0.35">
      <c r="A25" s="38" t="s">
        <v>1</v>
      </c>
      <c r="B25" s="1" t="s">
        <v>32</v>
      </c>
      <c r="C25" s="1" t="s">
        <v>33</v>
      </c>
      <c r="D25" s="4" t="str">
        <f>CONCATENATE("Diferència elèctric interurbà ",Vectors!$C$3," KM")</f>
        <v>Diferència elèctric interurbà 30000 KM</v>
      </c>
      <c r="E25" s="4" t="str">
        <f>CONCATENATE("Diferència elèctric interurbà  ",Vectors!$C$4," KM")</f>
        <v>Diferència elèctric interurbà  60000 KM</v>
      </c>
      <c r="F25" s="4" t="str">
        <f>CONCATENATE("Diferència elèctric interurbà  ",Vectors!$C$5," KM")</f>
        <v>Diferència elèctric interurbà  90000 KM</v>
      </c>
      <c r="G25" s="4" t="str">
        <f>CONCATENATE("Diferència elèctric interurbà ",Vectors!$C$6," KM")</f>
        <v>Diferència elèctric interurbà 120000 KM</v>
      </c>
      <c r="H25" s="4" t="str">
        <f>CONCATENATE("Diferència elèctric interurbà ",Vectors!$C$7," KM")</f>
        <v>Diferència elèctric interurbà 150000 KM</v>
      </c>
      <c r="I25" s="4" t="str">
        <f>CONCATENATE("Diferència elèctric interurbà ",Vectors!$C$8," KM")</f>
        <v>Diferència elèctric interurbà 180000 KM</v>
      </c>
      <c r="J25" s="4" t="str">
        <f>CONCATENATE("Diferència elèctric interurbà ",Vectors!$C$9," KM")</f>
        <v>Diferència elèctric interurbà 210000 KM</v>
      </c>
      <c r="K25" s="4" t="str">
        <f>CONCATENATE("Diferència elèctric interurbà ",Vectors!$C$10," KM")</f>
        <v>Diferència elèctric interurbà 240000 KM</v>
      </c>
      <c r="L25" s="2" t="str">
        <f>CONCATENATE("Diferència gas interurbà ",Vectors!$C$3," KM")</f>
        <v>Diferència gas interurbà 30000 KM</v>
      </c>
      <c r="M25" s="2" t="str">
        <f>CONCATENATE("Diferència gas interurbà ",Vectors!$C$4," KM")</f>
        <v>Diferència gas interurbà 60000 KM</v>
      </c>
      <c r="N25" s="2" t="str">
        <f>CONCATENATE("Diferència gas interurbà ",Vectors!$C$5," KM")</f>
        <v>Diferència gas interurbà 90000 KM</v>
      </c>
      <c r="O25" s="2" t="str">
        <f>CONCATENATE("Diferència gas interurbà ",Vectors!$C$6," KM")</f>
        <v>Diferència gas interurbà 120000 KM</v>
      </c>
      <c r="P25" s="2" t="str">
        <f>CONCATENATE("Diferència gas interurbà ",Vectors!$C$7," KM")</f>
        <v>Diferència gas interurbà 150000 KM</v>
      </c>
      <c r="Q25" s="2" t="str">
        <f>CONCATENATE("Diferència gas interurbà ",Vectors!$C$8," KM")</f>
        <v>Diferència gas interurbà 180000 KM</v>
      </c>
      <c r="R25" s="2" t="str">
        <f>CONCATENATE("Diferència gas interurbà ",Vectors!$C$9," KM")</f>
        <v>Diferència gas interurbà 210000 KM</v>
      </c>
      <c r="S25" s="2" t="str">
        <f>CONCATENATE("Diferència gas interurbà ",Vectors!$C$10," KM")</f>
        <v>Diferència gas interurbà 240000 KM</v>
      </c>
      <c r="T25" s="5" t="str">
        <f>CONCATENATE("Diferència híbrid interurbà ",Vectors!$C$3," KM")</f>
        <v>Diferència híbrid interurbà 30000 KM</v>
      </c>
      <c r="U25" s="5" t="str">
        <f>CONCATENATE("Diferència híbrid interurbà ",Vectors!$C$4," KM")</f>
        <v>Diferència híbrid interurbà 60000 KM</v>
      </c>
      <c r="V25" s="5" t="str">
        <f>CONCATENATE("Diferència híbrid interurbà ",Vectors!$C$5," KM")</f>
        <v>Diferència híbrid interurbà 90000 KM</v>
      </c>
      <c r="W25" s="5" t="str">
        <f>CONCATENATE("Diferència híbrid interurbà ",Vectors!$C$6," KM")</f>
        <v>Diferència híbrid interurbà 120000 KM</v>
      </c>
      <c r="X25" s="5" t="str">
        <f>CONCATENATE("Diferència híbrid interurbà ",Vectors!$C$7," KM")</f>
        <v>Diferència híbrid interurbà 150000 KM</v>
      </c>
      <c r="Y25" s="5" t="str">
        <f>CONCATENATE("Diferència híbrid interurbà ",Vectors!$C$8," KM")</f>
        <v>Diferència híbrid interurbà 180000 KM</v>
      </c>
      <c r="Z25" s="5" t="str">
        <f>CONCATENATE("Diferència híbrid interurbà ",Vectors!$C$9," KM")</f>
        <v>Diferència híbrid interurbà 210000 KM</v>
      </c>
      <c r="AA25" s="5" t="str">
        <f>CONCATENATE("Diferència híbrid interurbà ",Vectors!$C$10," KM")</f>
        <v>Diferència híbrid interurbà 240000 KM</v>
      </c>
      <c r="AB25" s="6" t="str">
        <f>CONCATENATE("Diferència hidrogen interurbà ",Vectors!$C$3," KM")</f>
        <v>Diferència hidrogen interurbà 30000 KM</v>
      </c>
      <c r="AC25" s="6" t="str">
        <f>CONCATENATE("Diferència hidrogen interurbà ",Vectors!$C$4," KM")</f>
        <v>Diferència hidrogen interurbà 60000 KM</v>
      </c>
      <c r="AD25" s="6" t="str">
        <f>CONCATENATE("Diferència hidrogen interurbà ",Vectors!$C$5," KM")</f>
        <v>Diferència hidrogen interurbà 90000 KM</v>
      </c>
      <c r="AE25" s="6" t="str">
        <f>CONCATENATE("Diferència hidrogen interurbà ",Vectors!$C$6," KM")</f>
        <v>Diferència hidrogen interurbà 120000 KM</v>
      </c>
      <c r="AF25" s="6" t="str">
        <f>CONCATENATE("Diferència hidrogen interurbà ",Vectors!$C$7," KM")</f>
        <v>Diferència hidrogen interurbà 150000 KM</v>
      </c>
      <c r="AG25" s="6" t="str">
        <f>CONCATENATE("Diferència hidrogen interurbà ",Vectors!$C$8," KM")</f>
        <v>Diferència hidrogen interurbà 180000 KM</v>
      </c>
      <c r="AH25" s="6" t="str">
        <f>CONCATENATE("Diferència hidrogen interurbà ",Vectors!$C$9," KM")</f>
        <v>Diferència hidrogen interurbà 210000 KM</v>
      </c>
      <c r="AI25" s="6" t="str">
        <f>CONCATENATE("Diferència hidrogen interurbà ",Vectors!$C$10," KM")</f>
        <v>Diferència hidrogen interurbà 240000 KM</v>
      </c>
    </row>
    <row r="26" spans="1:35" x14ac:dyDescent="0.35">
      <c r="A26" s="1" t="s">
        <v>3</v>
      </c>
      <c r="B26" s="3">
        <f>Urbà!$K$12-Urbà!K14</f>
        <v>7.91</v>
      </c>
      <c r="C26" s="37">
        <f>Interurbà!$K$12-Interurbà!K14</f>
        <v>29.8</v>
      </c>
      <c r="D26" t="e">
        <f ca="1">($C$32+($C$2/100)*$C$26)/(1+Interurbà!$M$12)^$A$2+Interurbà!$D$53</f>
        <v>#VALUE!</v>
      </c>
      <c r="E26" t="e">
        <f ca="1">($C$32+($C$2/100)*$C$26)/(1+Interurbà!$M$12)^$A$2+Interurbà!$D$53</f>
        <v>#VALUE!</v>
      </c>
      <c r="F26" t="e">
        <f ca="1">($C$32+($C$2/100)*$C$26)/(1+Interurbà!$M$12)^$A$2+Interurbà!$D$53</f>
        <v>#VALUE!</v>
      </c>
      <c r="G26" t="e">
        <f ca="1">($C$32+($C$2/100)*$C$26)/(1+Interurbà!$M$12)^$A$2+Interurbà!$D$53</f>
        <v>#VALUE!</v>
      </c>
      <c r="H26" t="e">
        <f ca="1">($C$32+($C$2/100)*$C$26)/(1+Interurbà!$M$12)^$A$2+Interurbà!$D$53</f>
        <v>#VALUE!</v>
      </c>
      <c r="I26" t="e">
        <f ca="1">($C$32+($C$2/100)*$C$26)/(1+Interurbà!$M$12)^$A$2+Interurbà!$D$53</f>
        <v>#VALUE!</v>
      </c>
      <c r="J26" t="e">
        <f ca="1">($C$32+($C$2/100)*$C$26)/(1+Interurbà!$M$12)^$A$2+Interurbà!$D$53</f>
        <v>#VALUE!</v>
      </c>
      <c r="K26" t="e">
        <f ca="1">($C$32+($C$2/100)*$C$26)/(1+Interurbà!$M$12)^$A$2+Interurbà!$D$53</f>
        <v>#VALUE!</v>
      </c>
      <c r="L26">
        <f ca="1">($C$33+($C$2/100)*$C$27)/(1+Interurbà!$M$12)^$A$2+Interurbà!$D$54</f>
        <v>-64423</v>
      </c>
      <c r="M26">
        <f ca="1">($C$33+($C$2/100)*$C$27)/(1+Interurbà!$M$12)^$A$2+Interurbà!$D$54</f>
        <v>-64423</v>
      </c>
      <c r="N26">
        <f ca="1">($C$33+($C$2/100)*$C$27)/(1+Interurbà!$M$12)^$A$2+Interurbà!$D$54</f>
        <v>-64423</v>
      </c>
      <c r="O26">
        <f ca="1">($C$33+($C$2/100)*$C$27)/(1+Interurbà!$M$12)^$A$2+Interurbà!$D$54</f>
        <v>-64423</v>
      </c>
      <c r="P26">
        <f ca="1">($C$33+($C$2/100)*$C$27)/(1+Interurbà!$M$12)^$A$2+Interurbà!$D$54</f>
        <v>-64423</v>
      </c>
      <c r="Q26">
        <f ca="1">($C$33+($C$2/100)*$C$27)/(1+Interurbà!$M$12)^$A$2+Interurbà!$D$54</f>
        <v>-64423</v>
      </c>
      <c r="R26">
        <f ca="1">($C$33+($C$2/100)*$C$27)/(1+Interurbà!$M$12)^$A$2+Interurbà!$D$54</f>
        <v>-64423</v>
      </c>
      <c r="S26">
        <f ca="1">($C$33+($C$2/100)*$C$27)/(1+Interurbà!$M$12)^$A$2+Interurbà!$D$54</f>
        <v>-64423</v>
      </c>
      <c r="T26" t="e">
        <f ca="1">($C$34+($C$2/100)*$C$28)/(1+Interurbà!$M$12)^$A$2+Interurbà!$D$55</f>
        <v>#VALUE!</v>
      </c>
      <c r="U26" t="e">
        <f ca="1">($C$34+($C$2/100)*$C$28)/(1+Interurbà!$M$12)^$A$2+Interurbà!$D$55</f>
        <v>#VALUE!</v>
      </c>
      <c r="V26" t="e">
        <f ca="1">($C$34+($C$2/100)*$C$28)/(1+Interurbà!$M$12)^$A$2+Interurbà!$D$55</f>
        <v>#VALUE!</v>
      </c>
      <c r="W26" t="e">
        <f ca="1">($C$34+($C$2/100)*$C$28)/(1+Interurbà!$M$12)^$A$2+Interurbà!$D$55</f>
        <v>#VALUE!</v>
      </c>
      <c r="X26" t="e">
        <f ca="1">($C$34+($C$2/100)*$C$28)/(1+Interurbà!$M$12)^$A$2+Interurbà!$D$55</f>
        <v>#VALUE!</v>
      </c>
      <c r="Y26" t="e">
        <f ca="1">($C$34+($C$2/100)*$C$28)/(1+Interurbà!$M$12)^$A$2+Interurbà!$D$55</f>
        <v>#VALUE!</v>
      </c>
      <c r="Z26" t="e">
        <f ca="1">($C$34+($C$2/100)*$C$28)/(1+Interurbà!$M$12)^$A$2+Interurbà!$D$55</f>
        <v>#VALUE!</v>
      </c>
      <c r="AA26" t="e">
        <f ca="1">($C$34+($C$2/100)*$C$28)/(1+Interurbà!$M$12)^$A$2+Interurbà!$D$55</f>
        <v>#VALUE!</v>
      </c>
      <c r="AB26">
        <f ca="1">($C$35+($C$2/100)*$C$29)/(1+Interurbà!$M$12)^$A$2+Interurbà!$D$56</f>
        <v>-104423</v>
      </c>
      <c r="AC26">
        <f ca="1">($C$35+($C$2/100)*$C$29)/(1+Interurbà!$M$12)^$A$2+Interurbà!$D$56</f>
        <v>-104423</v>
      </c>
      <c r="AD26">
        <f ca="1">($C$35+($C$2/100)*$C$29)/(1+Interurbà!$M$12)^$A$2+Interurbà!$D$56</f>
        <v>-104423</v>
      </c>
      <c r="AE26">
        <f ca="1">($C$35+($C$2/100)*$C$29)/(1+Interurbà!$M$12)^$A$2+Interurbà!$D$56</f>
        <v>-104423</v>
      </c>
      <c r="AF26">
        <f ca="1">($C$35+($C$2/100)*$C$29)/(1+Interurbà!$M$12)^$A$2+Interurbà!$D$56</f>
        <v>-104423</v>
      </c>
      <c r="AG26">
        <f ca="1">($C$35+($C$2/100)*$C$29)/(1+Interurbà!$M$12)^$A$2+Interurbà!$D$56</f>
        <v>-104423</v>
      </c>
      <c r="AH26">
        <f ca="1">($C$35+($C$2/100)*$C$29)/(1+Interurbà!$M$12)^$A$2+Interurbà!$D$56</f>
        <v>-104423</v>
      </c>
      <c r="AI26">
        <f ca="1">($C$35+($C$2/100)*$C$29)/(1+Interurbà!$M$12)^$A$2+Interurbà!$D$56</f>
        <v>-104423</v>
      </c>
    </row>
    <row r="27" spans="1:35" x14ac:dyDescent="0.35">
      <c r="A27" s="1" t="s">
        <v>4</v>
      </c>
      <c r="B27" s="3">
        <f>Urbà!$K$12-Urbà!K16</f>
        <v>6.67</v>
      </c>
      <c r="C27" s="37">
        <f>Interurbà!$K$12-Interurbà!K16</f>
        <v>14.850000000000001</v>
      </c>
      <c r="D27" t="e">
        <f ca="1">($C$32+($C$3/100)*$C$26)/(1+Interurbà!$M$12)^A3+D26</f>
        <v>#VALUE!</v>
      </c>
      <c r="E27" t="e">
        <f ca="1">($C$32+($C$4/100)*$C$26)/(1+Interurbà!$M$12)^$A3+E26</f>
        <v>#VALUE!</v>
      </c>
      <c r="F27" t="e">
        <f ca="1">($C$32+($C$5/100)*$C$26)/(1+Interurbà!$M$12)^$A3+F26</f>
        <v>#VALUE!</v>
      </c>
      <c r="G27" t="e">
        <f ca="1">($C$32+($C$6/100)*$C$26)/(1+Interurbà!$M$12)^$A3+G26</f>
        <v>#VALUE!</v>
      </c>
      <c r="H27" t="e">
        <f ca="1">($C$32+($C$7/100)*$C$26)/(1+Interurbà!$M$12)^$A3+H26</f>
        <v>#VALUE!</v>
      </c>
      <c r="I27" t="e">
        <f ca="1">($C$32+($C$8/100)*$C$26)/(1+Interurbà!$M$12)^$A3+I26</f>
        <v>#VALUE!</v>
      </c>
      <c r="J27" t="e">
        <f ca="1">($C$32+($C$9/100)*$C$26)/(1+Interurbà!$M$12)^$A3+J26</f>
        <v>#VALUE!</v>
      </c>
      <c r="K27" t="e">
        <f ca="1">($C$32+($C$10/100)*$C$26)/(1+Interurbà!$M$12)^$A3+K26</f>
        <v>#VALUE!</v>
      </c>
      <c r="L27">
        <f ca="1">($C$33+($C$3/100)*$C$27)/(1+Interurbà!$M$12)^$A3+L26</f>
        <v>-60097.7572815534</v>
      </c>
      <c r="M27">
        <f ca="1">($C$33+($C$4/100)*$C$27)/(1+Interurbà!$M$12)^$A3+M26</f>
        <v>-55772.514563106801</v>
      </c>
      <c r="N27">
        <f ca="1">($C$33+($C$5/100)*$C$27)/(1+Interurbà!$M$12)^$A3+N26</f>
        <v>-51447.271844660194</v>
      </c>
      <c r="O27">
        <f ca="1">($C$33+($C$6/100)*$C$27)/(1+Interurbà!$M$12)^$A3+O26</f>
        <v>-47122.029126213594</v>
      </c>
      <c r="P27">
        <f ca="1">($C$33+($C$7/100)*$C$27)/(1+Interurbà!$M$12)^$A3+P26</f>
        <v>-42796.786407766987</v>
      </c>
      <c r="Q27">
        <f ca="1">($C$33+($C$8/100)*$C$27)/(1+Interurbà!$M$12)^$A3+Q26</f>
        <v>-38471.543689320388</v>
      </c>
      <c r="R27">
        <f ca="1">($C$33+($C$9/100)*$C$27)/(1+Interurbà!$M$12)^$A3+R26</f>
        <v>-34146.300970873781</v>
      </c>
      <c r="S27">
        <f ca="1">($C$33+($C$10/100)*$C$27)/(1+Interurbà!$M$12)^$A3+S26</f>
        <v>-29821.058252427189</v>
      </c>
      <c r="T27" t="e">
        <f ca="1">($C$34+($C$3/100)*$C$28)/(1+Interurbà!$M$12)^$A3+T26</f>
        <v>#VALUE!</v>
      </c>
      <c r="U27" t="e">
        <f ca="1">($C$34+($C$4/100)*$C$28)/(1+Interurbà!$M$12)^$A3+U26</f>
        <v>#VALUE!</v>
      </c>
      <c r="V27" t="e">
        <f ca="1">($C$34+($C$5/100)*$C$28)/(1+Interurbà!$M$12)^$A3+V26</f>
        <v>#VALUE!</v>
      </c>
      <c r="W27" t="e">
        <f ca="1">($C$34+($C$6/100)*$C$28)/(1+Interurbà!$M$12)^$A3+W26</f>
        <v>#VALUE!</v>
      </c>
      <c r="X27" t="e">
        <f ca="1">($C$34+($C$7/100)*$C$28)/(1+Interurbà!$M$12)^$A3+X26</f>
        <v>#VALUE!</v>
      </c>
      <c r="Y27" t="e">
        <f ca="1">($C$34+($C$8/100)*$C$28)/(1+Interurbà!$M$12)^$A3+Y26</f>
        <v>#VALUE!</v>
      </c>
      <c r="Z27" t="e">
        <f ca="1">($C$34+($C$9/100)*$C$28)/(1+Interurbà!$M$12)^$A3+Z26</f>
        <v>#VALUE!</v>
      </c>
      <c r="AA27" t="e">
        <f ca="1">($C$34+($C$10/100)*$C$28)/(1+Interurbà!$M$12)^$A3+AA26</f>
        <v>#VALUE!</v>
      </c>
      <c r="AB27">
        <f ca="1">($C$35+($C$3/100)*$C$29)/(1+Interurbà!$M$12)^$A3+AB26</f>
        <v>-103511.3495145631</v>
      </c>
      <c r="AC27">
        <f ca="1">($C$35+($C$4/100)*$C$29)/(1+Interurbà!$M$12)^$A3+AC26</f>
        <v>-102599.69902912622</v>
      </c>
      <c r="AD27">
        <f ca="1">($C$35+($C$5/100)*$C$29)/(1+Interurbà!$M$12)^$A3+AD26</f>
        <v>-101688.04854368932</v>
      </c>
      <c r="AE27">
        <f ca="1">($C$35+($C$6/100)*$C$29)/(1+Interurbà!$M$12)^$A3+AE26</f>
        <v>-100776.39805825242</v>
      </c>
      <c r="AF27">
        <f ca="1">($C$35+($C$7/100)*$C$29)/(1+Interurbà!$M$12)^$A3+AF26</f>
        <v>-99864.74757281554</v>
      </c>
      <c r="AG27">
        <f ca="1">($C$35+($C$8/100)*$C$29)/(1+Interurbà!$M$12)^$A3+AG26</f>
        <v>-98953.097087378643</v>
      </c>
      <c r="AH27">
        <f ca="1">($C$35+($C$9/100)*$C$29)/(1+Interurbà!$M$12)^$A3+AH26</f>
        <v>-98041.446601941745</v>
      </c>
      <c r="AI27">
        <f ca="1">($C$35+($C$10/100)*$C$29)/(1+Interurbà!$M$12)^$A3+AI26</f>
        <v>-97129.796116504862</v>
      </c>
    </row>
    <row r="28" spans="1:35" x14ac:dyDescent="0.35">
      <c r="A28" s="1" t="s">
        <v>5</v>
      </c>
      <c r="B28" s="3">
        <f>Urbà!$K$12-Urbà!K18</f>
        <v>1.5465</v>
      </c>
      <c r="C28" s="37">
        <f>Interurbà!$K$12-Interurbà!K18</f>
        <v>29.8</v>
      </c>
      <c r="D28" t="e">
        <f ca="1">($C$32+($C$3/100)*$C$26)/(1+Interurbà!$M$12)^A4+D27</f>
        <v>#VALUE!</v>
      </c>
      <c r="E28" t="e">
        <f ca="1">($C$32+($C$4/100)*$C$26)/(1+Interurbà!$M$12)^A4+E27</f>
        <v>#VALUE!</v>
      </c>
      <c r="F28" t="e">
        <f ca="1">($C$32+($C$5/100)*$C$26)/(1+Interurbà!$M$12)^$A4+F27</f>
        <v>#VALUE!</v>
      </c>
      <c r="G28" t="e">
        <f ca="1">($C$32+($C$6/100)*$C$26)/(1+Interurbà!$M$12)^$A4+G27</f>
        <v>#VALUE!</v>
      </c>
      <c r="H28" t="e">
        <f ca="1">($C$32+($C$7/100)*$C$26)/(1+Interurbà!$M$12)^$A4+H27</f>
        <v>#VALUE!</v>
      </c>
      <c r="I28" t="e">
        <f ca="1">($C$32+($C$8/100)*$C$26)/(1+Interurbà!$M$12)^$A4+I27</f>
        <v>#VALUE!</v>
      </c>
      <c r="J28" t="e">
        <f ca="1">($C$32+($C$9/100)*$C$26)/(1+Interurbà!$M$12)^$A4+J27</f>
        <v>#VALUE!</v>
      </c>
      <c r="K28" t="e">
        <f ca="1">($C$32+($C$10/100)*$C$26)/(1+Interurbà!$M$12)^$A4+K27</f>
        <v>#VALUE!</v>
      </c>
      <c r="L28">
        <f ca="1">($C$33+($C$3/100)*$C$27)/(1+Interurbà!$M$12)^A4+L27</f>
        <v>-55898.492506362527</v>
      </c>
      <c r="M28">
        <f ca="1">($C$33+($C$4/100)*$C$27)/(1+Interurbà!$M$12)^$A4+M27</f>
        <v>-47373.985012725047</v>
      </c>
      <c r="N28">
        <f ca="1">($C$33+($C$5/100)*$C$27)/(1+Interurbà!$M$12)^$A4+N27</f>
        <v>-38849.477519087566</v>
      </c>
      <c r="O28">
        <f ca="1">($C$33+($C$6/100)*$C$27)/(1+Interurbà!$M$12)^$A4+O27</f>
        <v>-30324.970025450089</v>
      </c>
      <c r="P28">
        <f ca="1">($C$33+($C$7/100)*$C$27)/(1+Interurbà!$M$12)^$A4+P27</f>
        <v>-21800.462531812605</v>
      </c>
      <c r="Q28">
        <f ca="1">($C$33+($C$8/100)*$C$27)/(1+Interurbà!$M$12)^$A4+Q27</f>
        <v>-13275.955038175129</v>
      </c>
      <c r="R28">
        <f ca="1">($C$33+($C$9/100)*$C$27)/(1+Interurbà!$M$12)^$A4+R27</f>
        <v>-4751.4475445376447</v>
      </c>
      <c r="S28">
        <f ca="1">($C$33+($C$10/100)*$C$27)/(1+Interurbà!$M$12)^$A4+S27</f>
        <v>3773.0599490998211</v>
      </c>
      <c r="T28" t="e">
        <f ca="1">($C$34+($C$3/100)*$C$28)/(1+Interurbà!$M$12)^$A4+T27</f>
        <v>#VALUE!</v>
      </c>
      <c r="U28" t="e">
        <f ca="1">($C$34+($C$4/100)*$C$28)/(1+Interurbà!$M$12)^$A4+U27</f>
        <v>#VALUE!</v>
      </c>
      <c r="V28" t="e">
        <f ca="1">($C$34+($C$5/100)*$C$28)/(1+Interurbà!$M$12)^$A4+V27</f>
        <v>#VALUE!</v>
      </c>
      <c r="W28" t="e">
        <f ca="1">($C$34+($C$6/100)*$C$28)/(1+Interurbà!$M$12)^$A4+W27</f>
        <v>#VALUE!</v>
      </c>
      <c r="X28" t="e">
        <f ca="1">($C$34+($C$7/100)*$C$28)/(1+Interurbà!$M$12)^$A4+X27</f>
        <v>#VALUE!</v>
      </c>
      <c r="Y28" t="e">
        <f ca="1">($C$34+($C$8/100)*$C$28)/(1+Interurbà!$M$12)^$A4+Y27</f>
        <v>#VALUE!</v>
      </c>
      <c r="Z28" t="e">
        <f ca="1">($C$34+($C$9/100)*$C$28)/(1+Interurbà!$M$12)^$A4+Z27</f>
        <v>#VALUE!</v>
      </c>
      <c r="AA28" t="e">
        <f ca="1">($C$34+($C$10/100)*$C$28)/(1+Interurbà!$M$12)^$A4+AA27</f>
        <v>#VALUE!</v>
      </c>
      <c r="AB28">
        <f ca="1">($C$35+($C$3/100)*$C$29)/(1+Interurbà!$M$12)^$A4+AB27</f>
        <v>-102626.2519558865</v>
      </c>
      <c r="AC28">
        <f ca="1">($C$35+($C$4/100)*$C$29)/(1+Interurbà!$M$12)^$A4+AC27</f>
        <v>-100829.50391177303</v>
      </c>
      <c r="AD28">
        <f ca="1">($C$35+($C$5/100)*$C$29)/(1+Interurbà!$M$12)^$A4+AD27</f>
        <v>-99032.755867659536</v>
      </c>
      <c r="AE28">
        <f ca="1">($C$35+($C$6/100)*$C$29)/(1+Interurbà!$M$12)^$A4+AE27</f>
        <v>-97236.007823546039</v>
      </c>
      <c r="AF28">
        <f ca="1">($C$35+($C$7/100)*$C$29)/(1+Interurbà!$M$12)^$A4+AF27</f>
        <v>-95439.25977943257</v>
      </c>
      <c r="AG28">
        <f ca="1">($C$35+($C$8/100)*$C$29)/(1+Interurbà!$M$12)^$A4+AG27</f>
        <v>-93642.511735319073</v>
      </c>
      <c r="AH28">
        <f ca="1">($C$35+($C$9/100)*$C$29)/(1+Interurbà!$M$12)^$A4+AH27</f>
        <v>-91845.763691205575</v>
      </c>
      <c r="AI28">
        <f ca="1">($C$35+($C$10/100)*$C$29)/(1+Interurbà!$M$12)^$A4+AI27</f>
        <v>-90049.015647092107</v>
      </c>
    </row>
    <row r="29" spans="1:35" x14ac:dyDescent="0.35">
      <c r="A29" s="1" t="s">
        <v>6</v>
      </c>
      <c r="B29" s="3">
        <f>Urbà!$K$12-Urbà!K20</f>
        <v>2.3100000000000005</v>
      </c>
      <c r="C29" s="37">
        <f>Interurbà!$K$12-Interurbà!K20</f>
        <v>3.129999999999999</v>
      </c>
      <c r="D29" t="e">
        <f ca="1">($C$32+($C$3/100)*$C$26)/(1+Interurbà!$M$12)^A5+D28</f>
        <v>#VALUE!</v>
      </c>
      <c r="E29" t="e">
        <f ca="1">($C$32+($C$4/100)*$C$26)/(1+Interurbà!$M$12)^A5+E28</f>
        <v>#VALUE!</v>
      </c>
      <c r="F29" t="e">
        <f ca="1">($C$32+($C$5/100)*$C$26)/(1+Interurbà!$M$12)^$A5+F28</f>
        <v>#VALUE!</v>
      </c>
      <c r="G29" t="e">
        <f ca="1">($C$32+($C$6/100)*$C$26)/(1+Interurbà!$M$12)^$A5+G28</f>
        <v>#VALUE!</v>
      </c>
      <c r="H29" t="e">
        <f ca="1">($C$32+($C$7/100)*$C$26)/(1+Interurbà!$M$12)^$A5+H28</f>
        <v>#VALUE!</v>
      </c>
      <c r="I29" t="e">
        <f ca="1">($C$32+($C$8/100)*$C$26)/(1+Interurbà!$M$12)^$A5+I28</f>
        <v>#VALUE!</v>
      </c>
      <c r="J29" t="e">
        <f ca="1">($C$32+($C$9/100)*$C$26)/(1+Interurbà!$M$12)^$A5+J28</f>
        <v>#VALUE!</v>
      </c>
      <c r="K29" t="e">
        <f ca="1">($C$32+($C$10/100)*$C$26)/(1+Interurbà!$M$12)^$A5+K28</f>
        <v>#VALUE!</v>
      </c>
      <c r="L29">
        <f ca="1">($C$33+($C$3/100)*$C$27)/(1+Interurbà!$M$12)^A5+L28</f>
        <v>-51821.536413944203</v>
      </c>
      <c r="M29">
        <f ca="1">($C$33+($C$4/100)*$C$27)/(1+Interurbà!$M$12)^$A5+M28</f>
        <v>-39220.072827888391</v>
      </c>
      <c r="N29">
        <f ca="1">($C$33+($C$5/100)*$C$27)/(1+Interurbà!$M$12)^$A5+N28</f>
        <v>-26618.609241832586</v>
      </c>
      <c r="O29">
        <f ca="1">($C$33+($C$6/100)*$C$27)/(1+Interurbà!$M$12)^$A5+O28</f>
        <v>-14017.145655776785</v>
      </c>
      <c r="P29">
        <f ca="1">($C$33+($C$7/100)*$C$27)/(1+Interurbà!$M$12)^$A5+P28</f>
        <v>-1415.6820697209732</v>
      </c>
      <c r="Q29">
        <f ca="1">($C$33+($C$8/100)*$C$27)/(1+Interurbà!$M$12)^$A5+Q28</f>
        <v>11185.781516334831</v>
      </c>
      <c r="R29">
        <f ca="1">($C$33+($C$9/100)*$C$27)/(1+Interurbà!$M$12)^$A5+R28</f>
        <v>23787.24510239064</v>
      </c>
      <c r="S29">
        <f ca="1">($C$33+($C$10/100)*$C$27)/(1+Interurbà!$M$12)^$A5+S28</f>
        <v>36388.70868844643</v>
      </c>
      <c r="T29" t="e">
        <f ca="1">($C$34+($C$3/100)*$C$28)/(1+Interurbà!$M$12)^$A5+T28</f>
        <v>#VALUE!</v>
      </c>
      <c r="U29" t="e">
        <f ca="1">($C$34+($C$4/100)*$C$28)/(1+Interurbà!$M$12)^$A5+U28</f>
        <v>#VALUE!</v>
      </c>
      <c r="V29" t="e">
        <f ca="1">($C$34+($C$5/100)*$C$28)/(1+Interurbà!$M$12)^$A5+V28</f>
        <v>#VALUE!</v>
      </c>
      <c r="W29" t="e">
        <f ca="1">($C$34+($C$6/100)*$C$28)/(1+Interurbà!$M$12)^$A5+W28</f>
        <v>#VALUE!</v>
      </c>
      <c r="X29" t="e">
        <f ca="1">($C$34+($C$7/100)*$C$28)/(1+Interurbà!$M$12)^$A5+X28</f>
        <v>#VALUE!</v>
      </c>
      <c r="Y29" t="e">
        <f ca="1">($C$34+($C$8/100)*$C$28)/(1+Interurbà!$M$12)^$A5+Y28</f>
        <v>#VALUE!</v>
      </c>
      <c r="Z29" t="e">
        <f ca="1">($C$34+($C$9/100)*$C$28)/(1+Interurbà!$M$12)^$A5+Z28</f>
        <v>#VALUE!</v>
      </c>
      <c r="AA29" t="e">
        <f ca="1">($C$34+($C$10/100)*$C$28)/(1+Interurbà!$M$12)^$A5+AA28</f>
        <v>#VALUE!</v>
      </c>
      <c r="AB29">
        <f ca="1">($C$35+($C$3/100)*$C$29)/(1+Interurbà!$M$12)^$A5+AB28</f>
        <v>-101766.93393775389</v>
      </c>
      <c r="AC29">
        <f ca="1">($C$35+($C$4/100)*$C$29)/(1+Interurbà!$M$12)^$A5+AC28</f>
        <v>-99110.8678755078</v>
      </c>
      <c r="AD29">
        <f ca="1">($C$35+($C$5/100)*$C$29)/(1+Interurbà!$M$12)^$A5+AD28</f>
        <v>-96454.801813261685</v>
      </c>
      <c r="AE29">
        <f ca="1">($C$35+($C$6/100)*$C$29)/(1+Interurbà!$M$12)^$A5+AE28</f>
        <v>-93798.735751015571</v>
      </c>
      <c r="AF29">
        <f ca="1">($C$35+($C$7/100)*$C$29)/(1+Interurbà!$M$12)^$A5+AF28</f>
        <v>-91142.669688769485</v>
      </c>
      <c r="AG29">
        <f ca="1">($C$35+($C$8/100)*$C$29)/(1+Interurbà!$M$12)^$A5+AG28</f>
        <v>-88486.603626523371</v>
      </c>
      <c r="AH29">
        <f ca="1">($C$35+($C$9/100)*$C$29)/(1+Interurbà!$M$12)^$A5+AH28</f>
        <v>-85830.537564277256</v>
      </c>
      <c r="AI29">
        <f ca="1">($C$35+($C$10/100)*$C$29)/(1+Interurbà!$M$12)^$A5+AI28</f>
        <v>-83174.471502031171</v>
      </c>
    </row>
    <row r="30" spans="1:35" x14ac:dyDescent="0.35">
      <c r="D30" t="e">
        <f ca="1">($C$32+($C$3/100)*$C$26)/(1+Interurbà!$M$12)^A6+D29</f>
        <v>#VALUE!</v>
      </c>
      <c r="E30" t="e">
        <f ca="1">($C$32+($C$4/100)*$C$26)/(1+Interurbà!$M$12)^A6+E29</f>
        <v>#VALUE!</v>
      </c>
      <c r="F30" t="e">
        <f ca="1">($C$32+($C$5/100)*$C$26)/(1+Interurbà!$M$12)^$A6+F29</f>
        <v>#VALUE!</v>
      </c>
      <c r="G30" t="e">
        <f ca="1">($C$32+($C$6/100)*$C$26)/(1+Interurbà!$M$12)^$A6+G29</f>
        <v>#VALUE!</v>
      </c>
      <c r="H30" t="e">
        <f ca="1">($C$32+($C$7/100)*$C$26)/(1+Interurbà!$M$12)^$A6+H29</f>
        <v>#VALUE!</v>
      </c>
      <c r="I30" t="e">
        <f ca="1">($C$32+($C$8/100)*$C$26)/(1+Interurbà!$M$12)^$A6+I29</f>
        <v>#VALUE!</v>
      </c>
      <c r="J30" t="e">
        <f ca="1">($C$32+($C$9/100)*$C$26)/(1+Interurbà!$M$12)^$A6+J29</f>
        <v>#VALUE!</v>
      </c>
      <c r="K30" t="e">
        <f ca="1">($C$32+($C$10/100)*$C$26)/(1+Interurbà!$M$12)^$A6+K29</f>
        <v>#VALUE!</v>
      </c>
      <c r="L30">
        <f ca="1">($C$33+($C$3/100)*$C$27)/(1+Interurbà!$M$12)^A6+L29</f>
        <v>-47863.326615479811</v>
      </c>
      <c r="M30">
        <f ca="1">($C$33+($C$4/100)*$C$27)/(1+Interurbà!$M$12)^$A6+M29</f>
        <v>-31303.6532309596</v>
      </c>
      <c r="N30">
        <f ca="1">($C$33+($C$5/100)*$C$27)/(1+Interurbà!$M$12)^$A6+N29</f>
        <v>-14743.979846439401</v>
      </c>
      <c r="O30">
        <f ca="1">($C$33+($C$6/100)*$C$27)/(1+Interurbà!$M$12)^$A6+O29</f>
        <v>1815.6935380807918</v>
      </c>
      <c r="P30">
        <f ca="1">($C$33+($C$7/100)*$C$27)/(1+Interurbà!$M$12)^$A6+P29</f>
        <v>18375.366922601002</v>
      </c>
      <c r="Q30">
        <f ca="1">($C$33+($C$8/100)*$C$27)/(1+Interurbà!$M$12)^$A6+Q29</f>
        <v>34935.040307121206</v>
      </c>
      <c r="R30">
        <f ca="1">($C$33+($C$9/100)*$C$27)/(1+Interurbà!$M$12)^$A6+R29</f>
        <v>51494.713691641402</v>
      </c>
      <c r="S30">
        <f ca="1">($C$33+($C$10/100)*$C$27)/(1+Interurbà!$M$12)^$A6+S29</f>
        <v>68054.387076161584</v>
      </c>
      <c r="T30" t="e">
        <f ca="1">($C$34+($C$3/100)*$C$28)/(1+Interurbà!$M$12)^$A6+T29</f>
        <v>#VALUE!</v>
      </c>
      <c r="U30" t="e">
        <f ca="1">($C$34+($C$4/100)*$C$28)/(1+Interurbà!$M$12)^$A6+U29</f>
        <v>#VALUE!</v>
      </c>
      <c r="V30" t="e">
        <f ca="1">($C$34+($C$5/100)*$C$28)/(1+Interurbà!$M$12)^$A6+V29</f>
        <v>#VALUE!</v>
      </c>
      <c r="W30" t="e">
        <f ca="1">($C$34+($C$6/100)*$C$28)/(1+Interurbà!$M$12)^$A6+W29</f>
        <v>#VALUE!</v>
      </c>
      <c r="X30" t="e">
        <f ca="1">($C$34+($C$7/100)*$C$28)/(1+Interurbà!$M$12)^$A6+X29</f>
        <v>#VALUE!</v>
      </c>
      <c r="Y30" t="e">
        <f ca="1">($C$34+($C$8/100)*$C$28)/(1+Interurbà!$M$12)^$A6+Y29</f>
        <v>#VALUE!</v>
      </c>
      <c r="Z30" t="e">
        <f ca="1">($C$34+($C$9/100)*$C$28)/(1+Interurbà!$M$12)^$A6+Z29</f>
        <v>#VALUE!</v>
      </c>
      <c r="AA30" t="e">
        <f ca="1">($C$34+($C$10/100)*$C$28)/(1+Interurbà!$M$12)^$A6+AA29</f>
        <v>#VALUE!</v>
      </c>
      <c r="AB30">
        <f ca="1">($C$35+($C$3/100)*$C$29)/(1+Interurbà!$M$12)^$A6+AB29</f>
        <v>-100932.64459976106</v>
      </c>
      <c r="AC30">
        <f ca="1">($C$35+($C$4/100)*$C$29)/(1+Interurbà!$M$12)^$A6+AC29</f>
        <v>-97442.289199522143</v>
      </c>
      <c r="AD30">
        <f ca="1">($C$35+($C$5/100)*$C$29)/(1+Interurbà!$M$12)^$A6+AD29</f>
        <v>-93951.933799283186</v>
      </c>
      <c r="AE30">
        <f ca="1">($C$35+($C$6/100)*$C$29)/(1+Interurbà!$M$12)^$A6+AE29</f>
        <v>-90461.578399044243</v>
      </c>
      <c r="AF30">
        <f ca="1">($C$35+($C$7/100)*$C$29)/(1+Interurbà!$M$12)^$A6+AF29</f>
        <v>-86971.22299880533</v>
      </c>
      <c r="AG30">
        <f ca="1">($C$35+($C$8/100)*$C$29)/(1+Interurbà!$M$12)^$A6+AG29</f>
        <v>-83480.867598566387</v>
      </c>
      <c r="AH30">
        <f ca="1">($C$35+($C$9/100)*$C$29)/(1+Interurbà!$M$12)^$A6+AH29</f>
        <v>-79990.512198327429</v>
      </c>
      <c r="AI30">
        <f ca="1">($C$35+($C$10/100)*$C$29)/(1+Interurbà!$M$12)^$A6+AI29</f>
        <v>-76500.156798088516</v>
      </c>
    </row>
    <row r="31" spans="1:35" x14ac:dyDescent="0.35">
      <c r="A31" s="38" t="s">
        <v>1</v>
      </c>
      <c r="B31" s="1" t="s">
        <v>34</v>
      </c>
      <c r="C31" s="1" t="s">
        <v>35</v>
      </c>
      <c r="D31" t="e">
        <f ca="1">($C$32+($C$3/100)*$C$26)/(1+Interurbà!$M$12)^A7+D30</f>
        <v>#VALUE!</v>
      </c>
      <c r="E31" t="e">
        <f ca="1">($C$32+($C$4/100)*$C$26)/(1+Interurbà!$M$12)^A7+E30</f>
        <v>#VALUE!</v>
      </c>
      <c r="F31" t="e">
        <f ca="1">($C$32+($C$5/100)*$C$26)/(1+Interurbà!$M$12)^$A7+F30</f>
        <v>#VALUE!</v>
      </c>
      <c r="G31" t="e">
        <f ca="1">($C$32+($C$6/100)*$C$26)/(1+Interurbà!$M$12)^$A7+G30</f>
        <v>#VALUE!</v>
      </c>
      <c r="H31" t="e">
        <f ca="1">($C$32+($C$7/100)*$C$26)/(1+Interurbà!$M$12)^$A7+H30</f>
        <v>#VALUE!</v>
      </c>
      <c r="I31" t="e">
        <f ca="1">($C$32+($C$8/100)*$C$26)/(1+Interurbà!$M$12)^$A7+I30</f>
        <v>#VALUE!</v>
      </c>
      <c r="J31" t="e">
        <f ca="1">($C$32+($C$9/100)*$C$26)/(1+Interurbà!$M$12)^$A7+J30</f>
        <v>#VALUE!</v>
      </c>
      <c r="K31" t="e">
        <f ca="1">($C$32+($C$10/100)*$C$26)/(1+Interurbà!$M$12)^$A7+K30</f>
        <v>#VALUE!</v>
      </c>
      <c r="L31">
        <f ca="1">($C$33+($C$3/100)*$C$27)/(1+Interurbà!$M$12)^A7+L30</f>
        <v>-44020.404481048361</v>
      </c>
      <c r="M31">
        <f ca="1">($C$33+($C$4/100)*$C$27)/(1+Interurbà!$M$12)^$A7+M30</f>
        <v>-23617.8089620967</v>
      </c>
      <c r="N31">
        <f ca="1">($C$33+($C$5/100)*$C$27)/(1+Interurbà!$M$12)^$A7+N30</f>
        <v>-3215.2134431450468</v>
      </c>
      <c r="O31">
        <f ca="1">($C$33+($C$6/100)*$C$27)/(1+Interurbà!$M$12)^$A7+O30</f>
        <v>17187.382075806596</v>
      </c>
      <c r="P31">
        <f ca="1">($C$33+($C$7/100)*$C$27)/(1+Interurbà!$M$12)^$A7+P30</f>
        <v>37589.97759475826</v>
      </c>
      <c r="Q31">
        <f ca="1">($C$33+($C$8/100)*$C$27)/(1+Interurbà!$M$12)^$A7+Q30</f>
        <v>57992.573113709914</v>
      </c>
      <c r="R31">
        <f ca="1">($C$33+($C$9/100)*$C$27)/(1+Interurbà!$M$12)^$A7+R30</f>
        <v>78395.16863266156</v>
      </c>
      <c r="S31">
        <f ca="1">($C$33+($C$10/100)*$C$27)/(1+Interurbà!$M$12)^$A7+S30</f>
        <v>98797.764151613199</v>
      </c>
      <c r="T31" t="e">
        <f ca="1">($C$34+($C$3/100)*$C$28)/(1+Interurbà!$M$12)^$A7+T30</f>
        <v>#VALUE!</v>
      </c>
      <c r="U31" t="e">
        <f ca="1">($C$34+($C$4/100)*$C$28)/(1+Interurbà!$M$12)^$A7+U30</f>
        <v>#VALUE!</v>
      </c>
      <c r="V31" t="e">
        <f ca="1">($C$34+($C$5/100)*$C$28)/(1+Interurbà!$M$12)^$A7+V30</f>
        <v>#VALUE!</v>
      </c>
      <c r="W31" t="e">
        <f ca="1">($C$34+($C$6/100)*$C$28)/(1+Interurbà!$M$12)^$A7+W30</f>
        <v>#VALUE!</v>
      </c>
      <c r="X31" t="e">
        <f ca="1">($C$34+($C$7/100)*$C$28)/(1+Interurbà!$M$12)^$A7+X30</f>
        <v>#VALUE!</v>
      </c>
      <c r="Y31" t="e">
        <f ca="1">($C$34+($C$8/100)*$C$28)/(1+Interurbà!$M$12)^$A7+Y30</f>
        <v>#VALUE!</v>
      </c>
      <c r="Z31" t="e">
        <f ca="1">($C$34+($C$9/100)*$C$28)/(1+Interurbà!$M$12)^$A7+Z30</f>
        <v>#VALUE!</v>
      </c>
      <c r="AA31" t="e">
        <f ca="1">($C$34+($C$10/100)*$C$28)/(1+Interurbà!$M$12)^$A7+AA30</f>
        <v>#VALUE!</v>
      </c>
      <c r="AB31">
        <f ca="1">($C$35+($C$3/100)*$C$29)/(1+Interurbà!$M$12)^$A7+AB30</f>
        <v>-100122.65495122432</v>
      </c>
      <c r="AC31">
        <f ca="1">($C$35+($C$4/100)*$C$29)/(1+Interurbà!$M$12)^$A7+AC30</f>
        <v>-95822.309902448687</v>
      </c>
      <c r="AD31">
        <f ca="1">($C$35+($C$5/100)*$C$29)/(1+Interurbà!$M$12)^$A7+AD30</f>
        <v>-91521.964853672995</v>
      </c>
      <c r="AE31">
        <f ca="1">($C$35+($C$6/100)*$C$29)/(1+Interurbà!$M$12)^$A7+AE30</f>
        <v>-87221.619804897331</v>
      </c>
      <c r="AF31">
        <f ca="1">($C$35+($C$7/100)*$C$29)/(1+Interurbà!$M$12)^$A7+AF30</f>
        <v>-82921.274756121682</v>
      </c>
      <c r="AG31">
        <f ca="1">($C$35+($C$8/100)*$C$29)/(1+Interurbà!$M$12)^$A7+AG30</f>
        <v>-78620.929707346004</v>
      </c>
      <c r="AH31">
        <f ca="1">($C$35+($C$9/100)*$C$29)/(1+Interurbà!$M$12)^$A7+AH30</f>
        <v>-74320.584658570326</v>
      </c>
      <c r="AI31">
        <f ca="1">($C$35+($C$10/100)*$C$29)/(1+Interurbà!$M$12)^$A7+AI30</f>
        <v>-70020.239609794677</v>
      </c>
    </row>
    <row r="32" spans="1:35" x14ac:dyDescent="0.35">
      <c r="A32" s="1" t="s">
        <v>3</v>
      </c>
      <c r="B32" s="3">
        <f>Urbà!$L$12-Urbà!$L$14</f>
        <v>0</v>
      </c>
      <c r="C32" s="3">
        <f>Interurbà!$H$11-Interurbà!$H$12</f>
        <v>0</v>
      </c>
      <c r="D32" t="e">
        <f ca="1">($C$32+($C$3/100)*$C$26)/(1+Interurbà!$M$12)^A8+D31</f>
        <v>#VALUE!</v>
      </c>
      <c r="E32" t="e">
        <f ca="1">($C$32+($C$4/100)*$C$26)/(1+Interurbà!$M$12)^A8+E31</f>
        <v>#VALUE!</v>
      </c>
      <c r="F32" t="e">
        <f ca="1">($C$32+($C$5/100)*$C$26)/(1+Interurbà!$M$12)^$A8+F31</f>
        <v>#VALUE!</v>
      </c>
      <c r="G32" t="e">
        <f ca="1">($C$32+($C$6/100)*$C$26)/(1+Interurbà!$M$12)^$A8+G31</f>
        <v>#VALUE!</v>
      </c>
      <c r="H32" t="e">
        <f ca="1">($C$32+($C$7/100)*$C$26)/(1+Interurbà!$M$12)^$A8+H31</f>
        <v>#VALUE!</v>
      </c>
      <c r="I32" t="e">
        <f ca="1">($C$32+($C$8/100)*$C$26)/(1+Interurbà!$M$12)^$A8+I31</f>
        <v>#VALUE!</v>
      </c>
      <c r="J32" t="e">
        <f ca="1">($C$32+($C$9/100)*$C$26)/(1+Interurbà!$M$12)^$A8+J31</f>
        <v>#VALUE!</v>
      </c>
      <c r="K32" t="e">
        <f ca="1">($C$32+($C$10/100)*$C$26)/(1+Interurbà!$M$12)^$A8+K31</f>
        <v>#VALUE!</v>
      </c>
      <c r="L32">
        <f ca="1">($C$33+($C$3/100)*$C$27)/(1+Interurbà!$M$12)^A8+L31</f>
        <v>-40289.412117522683</v>
      </c>
      <c r="M32">
        <f ca="1">($C$33+($C$4/100)*$C$27)/(1+Interurbà!$M$12)^$A8+M31</f>
        <v>-16155.82423504534</v>
      </c>
      <c r="N32">
        <f ca="1">($C$33+($C$5/100)*$C$27)/(1+Interurbà!$M$12)^$A8+N31</f>
        <v>7977.7636474319952</v>
      </c>
      <c r="O32">
        <f ca="1">($C$33+($C$6/100)*$C$27)/(1+Interurbà!$M$12)^$A8+O31</f>
        <v>32111.35152990932</v>
      </c>
      <c r="P32">
        <f ca="1">($C$33+($C$7/100)*$C$27)/(1+Interurbà!$M$12)^$A8+P31</f>
        <v>56244.939412386666</v>
      </c>
      <c r="Q32">
        <f ca="1">($C$33+($C$8/100)*$C$27)/(1+Interurbà!$M$12)^$A8+Q31</f>
        <v>80378.527294864005</v>
      </c>
      <c r="R32">
        <f ca="1">($C$33+($C$9/100)*$C$27)/(1+Interurbà!$M$12)^$A8+R31</f>
        <v>104512.11517734133</v>
      </c>
      <c r="S32">
        <f ca="1">($C$33+($C$10/100)*$C$27)/(1+Interurbà!$M$12)^$A8+S31</f>
        <v>128645.70305981864</v>
      </c>
      <c r="T32" t="e">
        <f ca="1">($C$34+($C$3/100)*$C$28)/(1+Interurbà!$M$12)^$A8+T31</f>
        <v>#VALUE!</v>
      </c>
      <c r="U32" t="e">
        <f ca="1">($C$34+($C$4/100)*$C$28)/(1+Interurbà!$M$12)^$A8+U31</f>
        <v>#VALUE!</v>
      </c>
      <c r="V32" t="e">
        <f ca="1">($C$34+($C$5/100)*$C$28)/(1+Interurbà!$M$12)^$A8+V31</f>
        <v>#VALUE!</v>
      </c>
      <c r="W32" t="e">
        <f ca="1">($C$34+($C$6/100)*$C$28)/(1+Interurbà!$M$12)^$A8+W31</f>
        <v>#VALUE!</v>
      </c>
      <c r="X32" t="e">
        <f ca="1">($C$34+($C$7/100)*$C$28)/(1+Interurbà!$M$12)^$A8+X31</f>
        <v>#VALUE!</v>
      </c>
      <c r="Y32" t="e">
        <f ca="1">($C$34+($C$8/100)*$C$28)/(1+Interurbà!$M$12)^$A8+Y31</f>
        <v>#VALUE!</v>
      </c>
      <c r="Z32" t="e">
        <f ca="1">($C$34+($C$9/100)*$C$28)/(1+Interurbà!$M$12)^$A8+Z31</f>
        <v>#VALUE!</v>
      </c>
      <c r="AA32" t="e">
        <f ca="1">($C$34+($C$10/100)*$C$28)/(1+Interurbà!$M$12)^$A8+AA31</f>
        <v>#VALUE!</v>
      </c>
      <c r="AB32">
        <f ca="1">($C$35+($C$3/100)*$C$29)/(1+Interurbà!$M$12)^$A8+AB31</f>
        <v>-99336.257234198376</v>
      </c>
      <c r="AC32">
        <f ca="1">($C$35+($C$4/100)*$C$29)/(1+Interurbà!$M$12)^$A8+AC31</f>
        <v>-94249.514468396781</v>
      </c>
      <c r="AD32">
        <f ca="1">($C$35+($C$5/100)*$C$29)/(1+Interurbà!$M$12)^$A8+AD31</f>
        <v>-89162.771702595142</v>
      </c>
      <c r="AE32">
        <f ca="1">($C$35+($C$6/100)*$C$29)/(1+Interurbà!$M$12)^$A8+AE31</f>
        <v>-84076.028936793533</v>
      </c>
      <c r="AF32">
        <f ca="1">($C$35+($C$7/100)*$C$29)/(1+Interurbà!$M$12)^$A8+AF31</f>
        <v>-78989.286170991923</v>
      </c>
      <c r="AG32">
        <f ca="1">($C$35+($C$8/100)*$C$29)/(1+Interurbà!$M$12)^$A8+AG31</f>
        <v>-73902.543405190299</v>
      </c>
      <c r="AH32">
        <f ca="1">($C$35+($C$9/100)*$C$29)/(1+Interurbà!$M$12)^$A8+AH31</f>
        <v>-68815.800639388661</v>
      </c>
      <c r="AI32">
        <f ca="1">($C$35+($C$10/100)*$C$29)/(1+Interurbà!$M$12)^$A8+AI31</f>
        <v>-63729.057873587066</v>
      </c>
    </row>
    <row r="33" spans="1:35" x14ac:dyDescent="0.35">
      <c r="A33" s="1" t="s">
        <v>4</v>
      </c>
      <c r="B33" s="3">
        <f>Urbà!$L$12-Urbà!$L$16</f>
        <v>0</v>
      </c>
      <c r="C33" s="3">
        <f>Interurbà!$H$11-Interurbà!$H$13</f>
        <v>0</v>
      </c>
      <c r="D33" t="e">
        <f ca="1">($C$32+($C$3/100)*$C$26)/(1+Interurbà!$M$12)^A9+D32</f>
        <v>#VALUE!</v>
      </c>
      <c r="E33" t="e">
        <f ca="1">($C$32+($C$4/100)*$C$26)/(1+Interurbà!$M$12)^A9+E32</f>
        <v>#VALUE!</v>
      </c>
      <c r="F33" t="e">
        <f ca="1">($C$32+($C$5/100)*$C$26)/(1+Interurbà!$M$12)^$A9+F32</f>
        <v>#VALUE!</v>
      </c>
      <c r="G33" t="e">
        <f ca="1">($C$32+($C$6/100)*$C$26)/(1+Interurbà!$M$12)^$A9+G32</f>
        <v>#VALUE!</v>
      </c>
      <c r="H33" t="e">
        <f ca="1">($C$32+($C$7/100)*$C$26)/(1+Interurbà!$M$12)^$A9+H32</f>
        <v>#VALUE!</v>
      </c>
      <c r="I33" t="e">
        <f ca="1">($C$32+($C$8/100)*$C$26)/(1+Interurbà!$M$12)^$A9+I32</f>
        <v>#VALUE!</v>
      </c>
      <c r="J33" t="e">
        <f ca="1">($C$32+($C$9/100)*$C$26)/(1+Interurbà!$M$12)^$A9+J32</f>
        <v>#VALUE!</v>
      </c>
      <c r="K33" t="e">
        <f ca="1">($C$32+($C$10/100)*$C$26)/(1+Interurbà!$M$12)^$A9+K32</f>
        <v>#VALUE!</v>
      </c>
      <c r="L33">
        <f ca="1">($C$33+($C$3/100)*$C$27)/(1+Interurbà!$M$12)^A9+L32</f>
        <v>-36667.089434488043</v>
      </c>
      <c r="M33">
        <f ca="1">($C$33+($C$4/100)*$C$27)/(1+Interurbà!$M$12)^$A9+M32</f>
        <v>-8911.1788689760579</v>
      </c>
      <c r="N33">
        <f ca="1">($C$33+($C$5/100)*$C$27)/(1+Interurbà!$M$12)^$A9+N32</f>
        <v>18844.73169653592</v>
      </c>
      <c r="O33">
        <f ca="1">($C$33+($C$6/100)*$C$27)/(1+Interurbà!$M$12)^$A9+O32</f>
        <v>46600.642262047884</v>
      </c>
      <c r="P33">
        <f ca="1">($C$33+($C$7/100)*$C$27)/(1+Interurbà!$M$12)^$A9+P32</f>
        <v>74356.552827559877</v>
      </c>
      <c r="Q33">
        <f ca="1">($C$33+($C$8/100)*$C$27)/(1+Interurbà!$M$12)^$A9+Q32</f>
        <v>102112.46339307186</v>
      </c>
      <c r="R33">
        <f ca="1">($C$33+($C$9/100)*$C$27)/(1+Interurbà!$M$12)^$A9+R32</f>
        <v>129868.37395858382</v>
      </c>
      <c r="S33">
        <f ca="1">($C$33+($C$10/100)*$C$27)/(1+Interurbà!$M$12)^$A9+S32</f>
        <v>157624.28452409577</v>
      </c>
      <c r="T33" t="e">
        <f ca="1">($C$34+($C$3/100)*$C$28)/(1+Interurbà!$M$12)^$A9+T32</f>
        <v>#VALUE!</v>
      </c>
      <c r="U33" t="e">
        <f ca="1">($C$34+($C$4/100)*$C$28)/(1+Interurbà!$M$12)^$A9+U32</f>
        <v>#VALUE!</v>
      </c>
      <c r="V33" t="e">
        <f ca="1">($C$34+($C$5/100)*$C$28)/(1+Interurbà!$M$12)^$A9+V32</f>
        <v>#VALUE!</v>
      </c>
      <c r="W33" t="e">
        <f ca="1">($C$34+($C$6/100)*$C$28)/(1+Interurbà!$M$12)^$A9+W32</f>
        <v>#VALUE!</v>
      </c>
      <c r="X33" t="e">
        <f ca="1">($C$34+($C$7/100)*$C$28)/(1+Interurbà!$M$12)^$A9+X32</f>
        <v>#VALUE!</v>
      </c>
      <c r="Y33" t="e">
        <f ca="1">($C$34+($C$8/100)*$C$28)/(1+Interurbà!$M$12)^$A9+Y32</f>
        <v>#VALUE!</v>
      </c>
      <c r="Z33" t="e">
        <f ca="1">($C$34+($C$9/100)*$C$28)/(1+Interurbà!$M$12)^$A9+Z32</f>
        <v>#VALUE!</v>
      </c>
      <c r="AA33" t="e">
        <f ca="1">($C$34+($C$10/100)*$C$28)/(1+Interurbà!$M$12)^$A9+AA32</f>
        <v>#VALUE!</v>
      </c>
      <c r="AB33">
        <f ca="1">($C$35+($C$3/100)*$C$29)/(1+Interurbà!$M$12)^$A9+AB32</f>
        <v>-98572.764305046963</v>
      </c>
      <c r="AC33">
        <f ca="1">($C$35+($C$4/100)*$C$29)/(1+Interurbà!$M$12)^$A9+AC32</f>
        <v>-92722.52861009397</v>
      </c>
      <c r="AD33">
        <f ca="1">($C$35+($C$5/100)*$C$29)/(1+Interurbà!$M$12)^$A9+AD32</f>
        <v>-86872.292915140919</v>
      </c>
      <c r="AE33">
        <f ca="1">($C$35+($C$6/100)*$C$29)/(1+Interurbà!$M$12)^$A9+AE32</f>
        <v>-81022.057220187897</v>
      </c>
      <c r="AF33">
        <f ca="1">($C$35+($C$7/100)*$C$29)/(1+Interurbà!$M$12)^$A9+AF32</f>
        <v>-75171.821525234875</v>
      </c>
      <c r="AG33">
        <f ca="1">($C$35+($C$8/100)*$C$29)/(1+Interurbà!$M$12)^$A9+AG32</f>
        <v>-69321.585830281852</v>
      </c>
      <c r="AH33">
        <f ca="1">($C$35+($C$9/100)*$C$29)/(1+Interurbà!$M$12)^$A9+AH32</f>
        <v>-63471.350135328801</v>
      </c>
      <c r="AI33">
        <f ca="1">($C$35+($C$10/100)*$C$29)/(1+Interurbà!$M$12)^$A9+AI32</f>
        <v>-57621.114440375793</v>
      </c>
    </row>
    <row r="34" spans="1:35" x14ac:dyDescent="0.35">
      <c r="A34" s="1" t="s">
        <v>5</v>
      </c>
      <c r="B34" s="3">
        <f>Urbà!$L$12-Urbà!$L$18</f>
        <v>0</v>
      </c>
      <c r="C34" s="3">
        <f>Interurbà!$H$11-Interurbà!$H$14</f>
        <v>0</v>
      </c>
      <c r="D34" t="e">
        <f ca="1">($C$32+($C$3/100)*$C$26)/(1+Interurbà!$M$12)^A10+D33</f>
        <v>#VALUE!</v>
      </c>
      <c r="E34" t="e">
        <f ca="1">($C$32+($C$4/100)*$C$26)/(1+Interurbà!$M$12)^A10+E33</f>
        <v>#VALUE!</v>
      </c>
      <c r="F34" t="e">
        <f ca="1">($C$32+($C$5/100)*$C$26)/(1+Interurbà!$M$12)^$A10+F33</f>
        <v>#VALUE!</v>
      </c>
      <c r="G34" t="e">
        <f ca="1">($C$32+($C$6/100)*$C$26)/(1+Interurbà!$M$12)^$A10+G33</f>
        <v>#VALUE!</v>
      </c>
      <c r="H34" t="e">
        <f ca="1">($C$32+($C$7/100)*$C$26)/(1+Interurbà!$M$12)^$A10+H33</f>
        <v>#VALUE!</v>
      </c>
      <c r="I34" t="e">
        <f ca="1">($C$32+($C$8/100)*$C$26)/(1+Interurbà!$M$12)^$A10+I33</f>
        <v>#VALUE!</v>
      </c>
      <c r="J34" t="e">
        <f ca="1">($C$32+($C$9/100)*$C$26)/(1+Interurbà!$M$12)^$A10+J33</f>
        <v>#VALUE!</v>
      </c>
      <c r="K34" t="e">
        <f ca="1">($C$32+($C$10/100)*$C$26)/(1+Interurbà!$M$12)^$A10+K33</f>
        <v>#VALUE!</v>
      </c>
      <c r="L34">
        <f ca="1">($C$33+($C$3/100)*$C$27)/(1+Interurbà!$M$12)^A10+L33</f>
        <v>-33150.271295619459</v>
      </c>
      <c r="M34">
        <f ca="1">($C$33+($C$4/100)*$C$27)/(1+Interurbà!$M$12)^$A10+M33</f>
        <v>-1877.5425912388901</v>
      </c>
      <c r="N34">
        <f ca="1">($C$33+($C$5/100)*$C$27)/(1+Interurbà!$M$12)^$A10+N33</f>
        <v>29395.186113141674</v>
      </c>
      <c r="O34">
        <f ca="1">($C$33+($C$6/100)*$C$27)/(1+Interurbà!$M$12)^$A10+O33</f>
        <v>60667.914817522222</v>
      </c>
      <c r="P34">
        <f ca="1">($C$33+($C$7/100)*$C$27)/(1+Interurbà!$M$12)^$A10+P33</f>
        <v>91940.643521902792</v>
      </c>
      <c r="Q34">
        <f ca="1">($C$33+($C$8/100)*$C$27)/(1+Interurbà!$M$12)^$A10+Q33</f>
        <v>123213.37222628336</v>
      </c>
      <c r="R34">
        <f ca="1">($C$33+($C$9/100)*$C$27)/(1+Interurbà!$M$12)^$A10+R33</f>
        <v>154486.1009306639</v>
      </c>
      <c r="S34">
        <f ca="1">($C$33+($C$10/100)*$C$27)/(1+Interurbà!$M$12)^$A10+S33</f>
        <v>185758.82963504444</v>
      </c>
      <c r="T34" t="e">
        <f ca="1">($C$34+($C$3/100)*$C$28)/(1+Interurbà!$M$12)^$A10+T33</f>
        <v>#VALUE!</v>
      </c>
      <c r="U34" t="e">
        <f ca="1">($C$34+($C$4/100)*$C$28)/(1+Interurbà!$M$12)^$A10+U33</f>
        <v>#VALUE!</v>
      </c>
      <c r="V34" t="e">
        <f ca="1">($C$34+($C$5/100)*$C$28)/(1+Interurbà!$M$12)^$A10+V33</f>
        <v>#VALUE!</v>
      </c>
      <c r="W34" t="e">
        <f ca="1">($C$34+($C$6/100)*$C$28)/(1+Interurbà!$M$12)^$A10+W33</f>
        <v>#VALUE!</v>
      </c>
      <c r="X34" t="e">
        <f ca="1">($C$34+($C$7/100)*$C$28)/(1+Interurbà!$M$12)^$A10+X33</f>
        <v>#VALUE!</v>
      </c>
      <c r="Y34" t="e">
        <f ca="1">($C$34+($C$8/100)*$C$28)/(1+Interurbà!$M$12)^$A10+Y33</f>
        <v>#VALUE!</v>
      </c>
      <c r="Z34" t="e">
        <f ca="1">($C$34+($C$9/100)*$C$28)/(1+Interurbà!$M$12)^$A10+Z33</f>
        <v>#VALUE!</v>
      </c>
      <c r="AA34" t="e">
        <f ca="1">($C$34+($C$10/100)*$C$28)/(1+Interurbà!$M$12)^$A10+AA33</f>
        <v>#VALUE!</v>
      </c>
      <c r="AB34">
        <f ca="1">($C$35+($C$3/100)*$C$29)/(1+Interurbà!$M$12)^$A10+AB33</f>
        <v>-97831.509034026181</v>
      </c>
      <c r="AC34">
        <f ca="1">($C$35+($C$4/100)*$C$29)/(1+Interurbà!$M$12)^$A10+AC33</f>
        <v>-91240.018068052406</v>
      </c>
      <c r="AD34">
        <f ca="1">($C$35+($C$5/100)*$C$29)/(1+Interurbà!$M$12)^$A10+AD33</f>
        <v>-84648.527102078559</v>
      </c>
      <c r="AE34">
        <f ca="1">($C$35+($C$6/100)*$C$29)/(1+Interurbà!$M$12)^$A10+AE33</f>
        <v>-78057.036136104754</v>
      </c>
      <c r="AF34">
        <f ca="1">($C$35+($C$7/100)*$C$29)/(1+Interurbà!$M$12)^$A10+AF33</f>
        <v>-71465.54517013095</v>
      </c>
      <c r="AG34">
        <f ca="1">($C$35+($C$8/100)*$C$29)/(1+Interurbà!$M$12)^$A10+AG33</f>
        <v>-64874.054204157139</v>
      </c>
      <c r="AH34">
        <f ca="1">($C$35+($C$9/100)*$C$29)/(1+Interurbà!$M$12)^$A10+AH33</f>
        <v>-58282.563238183306</v>
      </c>
      <c r="AI34">
        <f ca="1">($C$35+($C$10/100)*$C$29)/(1+Interurbà!$M$12)^$A10+AI33</f>
        <v>-51691.072272209509</v>
      </c>
    </row>
    <row r="35" spans="1:35" x14ac:dyDescent="0.35">
      <c r="A35" s="1" t="s">
        <v>6</v>
      </c>
      <c r="B35" s="3">
        <f>Urbà!$L$12-Urbà!$L$20</f>
        <v>0</v>
      </c>
      <c r="C35" s="3">
        <f>Interurbà!$H$11-Interurbà!$H$15</f>
        <v>0</v>
      </c>
      <c r="D35" t="e">
        <f ca="1">($C$32+($C$3/100)*$C$26)/(1+Interurbà!$M$12)^A11+D34</f>
        <v>#VALUE!</v>
      </c>
      <c r="E35" t="e">
        <f ca="1">($C$32+($C$4/100)*$C$26)/(1+Interurbà!$M$12)^A11+E34</f>
        <v>#VALUE!</v>
      </c>
      <c r="F35" t="e">
        <f ca="1">($C$32+($C$5/100)*$C$26)/(1+Interurbà!$M$12)^$A11+F34</f>
        <v>#VALUE!</v>
      </c>
      <c r="G35" t="e">
        <f ca="1">($C$32+($C$6/100)*$C$26)/(1+Interurbà!$M$12)^$A11+G34</f>
        <v>#VALUE!</v>
      </c>
      <c r="H35" t="e">
        <f ca="1">($C$32+($C$7/100)*$C$26)/(1+Interurbà!$M$12)^$A11+H34</f>
        <v>#VALUE!</v>
      </c>
      <c r="I35" t="e">
        <f ca="1">($C$32+($C$8/100)*$C$26)/(1+Interurbà!$M$12)^$A11+I34</f>
        <v>#VALUE!</v>
      </c>
      <c r="J35" t="e">
        <f ca="1">($C$32+($C$9/100)*$C$26)/(1+Interurbà!$M$12)^$A11+J34</f>
        <v>#VALUE!</v>
      </c>
      <c r="K35" t="e">
        <f ca="1">($C$32+($C$10/100)*$C$26)/(1+Interurbà!$M$12)^$A11+K34</f>
        <v>#VALUE!</v>
      </c>
      <c r="L35">
        <f ca="1">($C$33+($C$3/100)*$C$27)/(1+Interurbà!$M$12)^A11+L34</f>
        <v>-29735.8847530286</v>
      </c>
      <c r="M35">
        <f ca="1">($C$33+($C$4/100)*$C$27)/(1+Interurbà!$M$12)^$A11+M34</f>
        <v>4951.2304939428259</v>
      </c>
      <c r="N35">
        <f ca="1">($C$33+($C$5/100)*$C$27)/(1+Interurbà!$M$12)^$A11+N34</f>
        <v>39638.34574091425</v>
      </c>
      <c r="O35">
        <f ca="1">($C$33+($C$6/100)*$C$27)/(1+Interurbà!$M$12)^$A11+O34</f>
        <v>74325.460987885657</v>
      </c>
      <c r="P35">
        <f ca="1">($C$33+($C$7/100)*$C$27)/(1+Interurbà!$M$12)^$A11+P34</f>
        <v>109012.57623485709</v>
      </c>
      <c r="Q35">
        <f ca="1">($C$33+($C$8/100)*$C$27)/(1+Interurbà!$M$12)^$A11+Q34</f>
        <v>143699.69148182851</v>
      </c>
      <c r="R35">
        <f ca="1">($C$33+($C$9/100)*$C$27)/(1+Interurbà!$M$12)^$A11+R34</f>
        <v>178386.80672879991</v>
      </c>
      <c r="S35">
        <f ca="1">($C$33+($C$10/100)*$C$27)/(1+Interurbà!$M$12)^$A11+S34</f>
        <v>213073.92197577131</v>
      </c>
      <c r="T35" t="e">
        <f ca="1">($C$34+($C$3/100)*$C$28)/(1+Interurbà!$M$12)^$A11+T34</f>
        <v>#VALUE!</v>
      </c>
      <c r="U35" t="e">
        <f ca="1">($C$34+($C$4/100)*$C$28)/(1+Interurbà!$M$12)^$A11+U34</f>
        <v>#VALUE!</v>
      </c>
      <c r="V35" t="e">
        <f ca="1">($C$34+($C$5/100)*$C$28)/(1+Interurbà!$M$12)^$A11+V34</f>
        <v>#VALUE!</v>
      </c>
      <c r="W35" t="e">
        <f ca="1">($C$34+($C$6/100)*$C$28)/(1+Interurbà!$M$12)^$A11+W34</f>
        <v>#VALUE!</v>
      </c>
      <c r="X35" t="e">
        <f ca="1">($C$34+($C$7/100)*$C$28)/(1+Interurbà!$M$12)^$A11+X34</f>
        <v>#VALUE!</v>
      </c>
      <c r="Y35" t="e">
        <f ca="1">($C$34+($C$8/100)*$C$28)/(1+Interurbà!$M$12)^$A11+Y34</f>
        <v>#VALUE!</v>
      </c>
      <c r="Z35" t="e">
        <f ca="1">($C$34+($C$9/100)*$C$28)/(1+Interurbà!$M$12)^$A11+Z34</f>
        <v>#VALUE!</v>
      </c>
      <c r="AA35" t="e">
        <f ca="1">($C$34+($C$10/100)*$C$28)/(1+Interurbà!$M$12)^$A11+AA34</f>
        <v>#VALUE!</v>
      </c>
      <c r="AB35">
        <f ca="1">($C$35+($C$3/100)*$C$29)/(1+Interurbà!$M$12)^$A11+AB34</f>
        <v>-97111.843722355523</v>
      </c>
      <c r="AC35">
        <f ca="1">($C$35+($C$4/100)*$C$29)/(1+Interurbà!$M$12)^$A11+AC34</f>
        <v>-89800.687444711075</v>
      </c>
      <c r="AD35">
        <f ca="1">($C$35+($C$5/100)*$C$29)/(1+Interurbà!$M$12)^$A11+AD34</f>
        <v>-82489.531167066569</v>
      </c>
      <c r="AE35">
        <f ca="1">($C$35+($C$6/100)*$C$29)/(1+Interurbà!$M$12)^$A11+AE34</f>
        <v>-75178.374889422092</v>
      </c>
      <c r="AF35">
        <f ca="1">($C$35+($C$7/100)*$C$29)/(1+Interurbà!$M$12)^$A11+AF34</f>
        <v>-67867.218611777629</v>
      </c>
      <c r="AG35">
        <f ca="1">($C$35+($C$8/100)*$C$29)/(1+Interurbà!$M$12)^$A11+AG34</f>
        <v>-60556.062334133145</v>
      </c>
      <c r="AH35">
        <f ca="1">($C$35+($C$9/100)*$C$29)/(1+Interurbà!$M$12)^$A11+AH34</f>
        <v>-53244.906056488646</v>
      </c>
      <c r="AI35">
        <f ca="1">($C$35+($C$10/100)*$C$29)/(1+Interurbà!$M$12)^$A11+AI34</f>
        <v>-45933.749778844183</v>
      </c>
    </row>
    <row r="36" spans="1:35" x14ac:dyDescent="0.35">
      <c r="D36" t="e">
        <f ca="1">($C$32+($C$3/100)*$C$26)/(1+Interurbà!$M$12)^A12+D35</f>
        <v>#VALUE!</v>
      </c>
      <c r="E36" t="e">
        <f ca="1">($C$32+($C$4/100)*$C$26)/(1+Interurbà!$M$12)^A12+E35</f>
        <v>#VALUE!</v>
      </c>
      <c r="F36" t="e">
        <f ca="1">($C$32+($C$5/100)*$C$26)/(1+Interurbà!$M$12)^$A12+F35</f>
        <v>#VALUE!</v>
      </c>
      <c r="G36" t="e">
        <f ca="1">($C$32+($C$6/100)*$C$26)/(1+Interurbà!$M$12)^$A12+G35</f>
        <v>#VALUE!</v>
      </c>
      <c r="H36" t="e">
        <f ca="1">($C$32+($C$7/100)*$C$26)/(1+Interurbà!$M$12)^$A12+H35</f>
        <v>#VALUE!</v>
      </c>
      <c r="I36" t="e">
        <f ca="1">($C$32+($C$8/100)*$C$26)/(1+Interurbà!$M$12)^$A12+I35</f>
        <v>#VALUE!</v>
      </c>
      <c r="J36" t="e">
        <f ca="1">($C$32+($C$9/100)*$C$26)/(1+Interurbà!$M$12)^$A12+J35</f>
        <v>#VALUE!</v>
      </c>
      <c r="K36" t="e">
        <f ca="1">($C$32+($C$10/100)*$C$26)/(1+Interurbà!$M$12)^$A12+K35</f>
        <v>#VALUE!</v>
      </c>
      <c r="L36">
        <f ca="1">($C$33+($C$3/100)*$C$27)/(1+Interurbà!$M$12)^A12+L35</f>
        <v>-26420.94636216369</v>
      </c>
      <c r="M36">
        <f ca="1">($C$33+($C$4/100)*$C$27)/(1+Interurbà!$M$12)^$A12+M35</f>
        <v>11581.107275672646</v>
      </c>
      <c r="N36">
        <f ca="1">($C$33+($C$5/100)*$C$27)/(1+Interurbà!$M$12)^$A12+N35</f>
        <v>49583.160913508982</v>
      </c>
      <c r="O36">
        <f ca="1">($C$33+($C$6/100)*$C$27)/(1+Interurbà!$M$12)^$A12+O35</f>
        <v>87585.2145513453</v>
      </c>
      <c r="P36">
        <f ca="1">($C$33+($C$7/100)*$C$27)/(1+Interurbà!$M$12)^$A12+P35</f>
        <v>125587.26818918165</v>
      </c>
      <c r="Q36">
        <f ca="1">($C$33+($C$8/100)*$C$27)/(1+Interurbà!$M$12)^$A12+Q35</f>
        <v>163589.32182701799</v>
      </c>
      <c r="R36">
        <f ca="1">($C$33+($C$9/100)*$C$27)/(1+Interurbà!$M$12)^$A12+R35</f>
        <v>201591.3754648543</v>
      </c>
      <c r="S36">
        <f ca="1">($C$33+($C$10/100)*$C$27)/(1+Interurbà!$M$12)^$A12+S35</f>
        <v>239593.4291026906</v>
      </c>
      <c r="T36" t="e">
        <f ca="1">($C$34+($C$3/100)*$C$28)/(1+Interurbà!$M$12)^$A12+T35</f>
        <v>#VALUE!</v>
      </c>
      <c r="U36" t="e">
        <f ca="1">($C$34+($C$4/100)*$C$28)/(1+Interurbà!$M$12)^$A12+U35</f>
        <v>#VALUE!</v>
      </c>
      <c r="V36" t="e">
        <f ca="1">($C$34+($C$5/100)*$C$28)/(1+Interurbà!$M$12)^$A12+V35</f>
        <v>#VALUE!</v>
      </c>
      <c r="W36" t="e">
        <f ca="1">($C$34+($C$6/100)*$C$28)/(1+Interurbà!$M$12)^$A12+W35</f>
        <v>#VALUE!</v>
      </c>
      <c r="X36" t="e">
        <f ca="1">($C$34+($C$7/100)*$C$28)/(1+Interurbà!$M$12)^$A12+X35</f>
        <v>#VALUE!</v>
      </c>
      <c r="Y36" t="e">
        <f ca="1">($C$34+($C$8/100)*$C$28)/(1+Interurbà!$M$12)^$A12+Y35</f>
        <v>#VALUE!</v>
      </c>
      <c r="Z36" t="e">
        <f ca="1">($C$34+($C$9/100)*$C$28)/(1+Interurbà!$M$12)^$A12+Z35</f>
        <v>#VALUE!</v>
      </c>
      <c r="AA36" t="e">
        <f ca="1">($C$34+($C$10/100)*$C$28)/(1+Interurbà!$M$12)^$A12+AA35</f>
        <v>#VALUE!</v>
      </c>
      <c r="AB36">
        <f ca="1">($C$35+($C$3/100)*$C$29)/(1+Interurbà!$M$12)^$A12+AB35</f>
        <v>-96413.139536267496</v>
      </c>
      <c r="AC36">
        <f ca="1">($C$35+($C$4/100)*$C$29)/(1+Interurbà!$M$12)^$A12+AC35</f>
        <v>-88403.279072535021</v>
      </c>
      <c r="AD36">
        <f ca="1">($C$35+($C$5/100)*$C$29)/(1+Interurbà!$M$12)^$A12+AD35</f>
        <v>-80393.418608802487</v>
      </c>
      <c r="AE36">
        <f ca="1">($C$35+($C$6/100)*$C$29)/(1+Interurbà!$M$12)^$A12+AE35</f>
        <v>-72383.558145069997</v>
      </c>
      <c r="AF36">
        <f ca="1">($C$35+($C$7/100)*$C$29)/(1+Interurbà!$M$12)^$A12+AF35</f>
        <v>-64373.697681337508</v>
      </c>
      <c r="AG36">
        <f ca="1">($C$35+($C$8/100)*$C$29)/(1+Interurbà!$M$12)^$A12+AG35</f>
        <v>-56363.837217604996</v>
      </c>
      <c r="AH36">
        <f ca="1">($C$35+($C$9/100)*$C$29)/(1+Interurbà!$M$12)^$A12+AH35</f>
        <v>-48353.97675387247</v>
      </c>
      <c r="AI36">
        <f ca="1">($C$35+($C$10/100)*$C$29)/(1+Interurbà!$M$12)^$A12+AI35</f>
        <v>-40344.116290139988</v>
      </c>
    </row>
    <row r="37" spans="1:35" x14ac:dyDescent="0.35">
      <c r="D37" t="e">
        <f ca="1">($C$32+($C$3/100)*$C$26)/(1+Interurbà!$M$12)^A13+D36</f>
        <v>#VALUE!</v>
      </c>
      <c r="E37" t="e">
        <f ca="1">($C$32+($C$4/100)*$C$26)/(1+Interurbà!$M$12)^A13+E36</f>
        <v>#VALUE!</v>
      </c>
      <c r="F37" t="e">
        <f ca="1">($C$32+($C$5/100)*$C$26)/(1+Interurbà!$M$12)^$A13+F36</f>
        <v>#VALUE!</v>
      </c>
      <c r="G37" t="e">
        <f ca="1">($C$32+($C$6/100)*$C$26)/(1+Interurbà!$M$12)^$A13+G36</f>
        <v>#VALUE!</v>
      </c>
      <c r="H37" t="e">
        <f ca="1">($C$32+($C$7/100)*$C$26)/(1+Interurbà!$M$12)^$A13+H36</f>
        <v>#VALUE!</v>
      </c>
      <c r="I37" t="e">
        <f ca="1">($C$32+($C$8/100)*$C$26)/(1+Interurbà!$M$12)^$A13+I36</f>
        <v>#VALUE!</v>
      </c>
      <c r="J37" t="e">
        <f ca="1">($C$32+($C$9/100)*$C$26)/(1+Interurbà!$M$12)^$A13+J36</f>
        <v>#VALUE!</v>
      </c>
      <c r="K37" t="e">
        <f ca="1">($C$32+($C$10/100)*$C$26)/(1+Interurbà!$M$12)^$A13+K36</f>
        <v>#VALUE!</v>
      </c>
      <c r="L37">
        <f ca="1">($C$33+($C$3/100)*$C$27)/(1+Interurbà!$M$12)^A13+L36</f>
        <v>-23202.559574916202</v>
      </c>
      <c r="M37">
        <f ca="1">($C$33+($C$4/100)*$C$27)/(1+Interurbà!$M$12)^$A13+M36</f>
        <v>18017.880850167618</v>
      </c>
      <c r="N37">
        <f ca="1">($C$33+($C$5/100)*$C$27)/(1+Interurbà!$M$12)^$A13+N36</f>
        <v>59238.321275251437</v>
      </c>
      <c r="O37">
        <f ca="1">($C$33+($C$6/100)*$C$27)/(1+Interurbà!$M$12)^$A13+O36</f>
        <v>100458.76170033525</v>
      </c>
      <c r="P37">
        <f ca="1">($C$33+($C$7/100)*$C$27)/(1+Interurbà!$M$12)^$A13+P36</f>
        <v>141679.20212541908</v>
      </c>
      <c r="Q37">
        <f ca="1">($C$33+($C$8/100)*$C$27)/(1+Interurbà!$M$12)^$A13+Q36</f>
        <v>182899.6425505029</v>
      </c>
      <c r="R37">
        <f ca="1">($C$33+($C$9/100)*$C$27)/(1+Interurbà!$M$12)^$A13+R36</f>
        <v>224120.0829755867</v>
      </c>
      <c r="S37">
        <f ca="1">($C$33+($C$10/100)*$C$27)/(1+Interurbà!$M$12)^$A13+S36</f>
        <v>265340.5234006705</v>
      </c>
      <c r="T37" t="e">
        <f ca="1">($C$34+($C$3/100)*$C$28)/(1+Interurbà!$M$12)^$A13+T36</f>
        <v>#VALUE!</v>
      </c>
      <c r="U37" t="e">
        <f ca="1">($C$34+($C$4/100)*$C$28)/(1+Interurbà!$M$12)^$A13+U36</f>
        <v>#VALUE!</v>
      </c>
      <c r="V37" t="e">
        <f ca="1">($C$34+($C$5/100)*$C$28)/(1+Interurbà!$M$12)^$A13+V36</f>
        <v>#VALUE!</v>
      </c>
      <c r="W37" t="e">
        <f ca="1">($C$34+($C$6/100)*$C$28)/(1+Interurbà!$M$12)^$A13+W36</f>
        <v>#VALUE!</v>
      </c>
      <c r="X37" t="e">
        <f ca="1">($C$34+($C$7/100)*$C$28)/(1+Interurbà!$M$12)^$A13+X36</f>
        <v>#VALUE!</v>
      </c>
      <c r="Y37" t="e">
        <f ca="1">($C$34+($C$8/100)*$C$28)/(1+Interurbà!$M$12)^$A13+Y36</f>
        <v>#VALUE!</v>
      </c>
      <c r="Z37" t="e">
        <f ca="1">($C$34+($C$9/100)*$C$28)/(1+Interurbà!$M$12)^$A13+Z36</f>
        <v>#VALUE!</v>
      </c>
      <c r="AA37" t="e">
        <f ca="1">($C$34+($C$10/100)*$C$28)/(1+Interurbà!$M$12)^$A13+AA36</f>
        <v>#VALUE!</v>
      </c>
      <c r="AB37">
        <f ca="1">($C$35+($C$3/100)*$C$29)/(1+Interurbà!$M$12)^$A13+AB36</f>
        <v>-95734.785957541259</v>
      </c>
      <c r="AC37">
        <f ca="1">($C$35+($C$4/100)*$C$29)/(1+Interurbà!$M$12)^$A13+AC36</f>
        <v>-87046.571915082546</v>
      </c>
      <c r="AD37">
        <f ca="1">($C$35+($C$5/100)*$C$29)/(1+Interurbà!$M$12)^$A13+AD36</f>
        <v>-78358.357872623776</v>
      </c>
      <c r="AE37">
        <f ca="1">($C$35+($C$6/100)*$C$29)/(1+Interurbà!$M$12)^$A13+AE36</f>
        <v>-69670.143830165049</v>
      </c>
      <c r="AF37">
        <f ca="1">($C$35+($C$7/100)*$C$29)/(1+Interurbà!$M$12)^$A13+AF36</f>
        <v>-60981.929787706322</v>
      </c>
      <c r="AG37">
        <f ca="1">($C$35+($C$8/100)*$C$29)/(1+Interurbà!$M$12)^$A13+AG36</f>
        <v>-52293.715745247573</v>
      </c>
      <c r="AH37">
        <f ca="1">($C$35+($C$9/100)*$C$29)/(1+Interurbà!$M$12)^$A13+AH36</f>
        <v>-43605.50170278881</v>
      </c>
      <c r="AI37">
        <f ca="1">($C$35+($C$10/100)*$C$29)/(1+Interurbà!$M$12)^$A13+AI36</f>
        <v>-34917.28766033009</v>
      </c>
    </row>
    <row r="38" spans="1:35" x14ac:dyDescent="0.35">
      <c r="D38" t="e">
        <f ca="1">($C$32+($C$3/100)*$C$26)/(1+Interurbà!$M$12)^A14+D37</f>
        <v>#VALUE!</v>
      </c>
      <c r="E38" t="e">
        <f ca="1">($C$32+($C$4/100)*$C$26)/(1+Interurbà!$M$12)^A14+E37</f>
        <v>#VALUE!</v>
      </c>
      <c r="F38" t="e">
        <f ca="1">($C$32+($C$5/100)*$C$26)/(1+Interurbà!$M$12)^$A14+F37</f>
        <v>#VALUE!</v>
      </c>
      <c r="G38" t="e">
        <f ca="1">($C$32+($C$6/100)*$C$26)/(1+Interurbà!$M$12)^$A14+G37</f>
        <v>#VALUE!</v>
      </c>
      <c r="H38" t="e">
        <f ca="1">($C$32+($C$7/100)*$C$26)/(1+Interurbà!$M$12)^$A14+H37</f>
        <v>#VALUE!</v>
      </c>
      <c r="I38" t="e">
        <f ca="1">($C$32+($C$8/100)*$C$26)/(1+Interurbà!$M$12)^$A14+I37</f>
        <v>#VALUE!</v>
      </c>
      <c r="J38" t="e">
        <f ca="1">($C$32+($C$9/100)*$C$26)/(1+Interurbà!$M$12)^$A14+J37</f>
        <v>#VALUE!</v>
      </c>
      <c r="K38" t="e">
        <f ca="1">($C$32+($C$10/100)*$C$26)/(1+Interurbà!$M$12)^$A14+K37</f>
        <v>#VALUE!</v>
      </c>
      <c r="L38">
        <f ca="1">($C$33+($C$3/100)*$C$27)/(1+Interurbà!$M$12)^A14+L37</f>
        <v>-20077.912208656508</v>
      </c>
      <c r="M38">
        <f ca="1">($C$33+($C$4/100)*$C$27)/(1+Interurbà!$M$12)^$A14+M37</f>
        <v>24267.175582687007</v>
      </c>
      <c r="N38">
        <f ca="1">($C$33+($C$5/100)*$C$27)/(1+Interurbà!$M$12)^$A14+N37</f>
        <v>68612.263374030532</v>
      </c>
      <c r="O38">
        <f ca="1">($C$33+($C$6/100)*$C$27)/(1+Interurbà!$M$12)^$A14+O37</f>
        <v>112957.35116537403</v>
      </c>
      <c r="P38">
        <f ca="1">($C$33+($C$7/100)*$C$27)/(1+Interurbà!$M$12)^$A14+P37</f>
        <v>157302.43895671755</v>
      </c>
      <c r="Q38">
        <f ca="1">($C$33+($C$8/100)*$C$27)/(1+Interurbà!$M$12)^$A14+Q37</f>
        <v>201647.52674806109</v>
      </c>
      <c r="R38">
        <f ca="1">($C$33+($C$9/100)*$C$27)/(1+Interurbà!$M$12)^$A14+R37</f>
        <v>245992.61453940457</v>
      </c>
      <c r="S38">
        <f ca="1">($C$33+($C$10/100)*$C$27)/(1+Interurbà!$M$12)^$A14+S37</f>
        <v>290337.70233074808</v>
      </c>
      <c r="T38" t="e">
        <f ca="1">($C$34+($C$3/100)*$C$28)/(1+Interurbà!$M$12)^$A14+T37</f>
        <v>#VALUE!</v>
      </c>
      <c r="U38" t="e">
        <f ca="1">($C$34+($C$4/100)*$C$28)/(1+Interurbà!$M$12)^$A14+U37</f>
        <v>#VALUE!</v>
      </c>
      <c r="V38" t="e">
        <f ca="1">($C$34+($C$5/100)*$C$28)/(1+Interurbà!$M$12)^$A14+V37</f>
        <v>#VALUE!</v>
      </c>
      <c r="W38" t="e">
        <f ca="1">($C$34+($C$6/100)*$C$28)/(1+Interurbà!$M$12)^$A14+W37</f>
        <v>#VALUE!</v>
      </c>
      <c r="X38" t="e">
        <f ca="1">($C$34+($C$7/100)*$C$28)/(1+Interurbà!$M$12)^$A14+X37</f>
        <v>#VALUE!</v>
      </c>
      <c r="Y38" t="e">
        <f ca="1">($C$34+($C$8/100)*$C$28)/(1+Interurbà!$M$12)^$A14+Y37</f>
        <v>#VALUE!</v>
      </c>
      <c r="Z38" t="e">
        <f ca="1">($C$34+($C$9/100)*$C$28)/(1+Interurbà!$M$12)^$A14+Z37</f>
        <v>#VALUE!</v>
      </c>
      <c r="AA38" t="e">
        <f ca="1">($C$34+($C$10/100)*$C$28)/(1+Interurbà!$M$12)^$A14+AA37</f>
        <v>#VALUE!</v>
      </c>
      <c r="AB38">
        <f ca="1">($C$35+($C$3/100)*$C$29)/(1+Interurbà!$M$12)^$A14+AB37</f>
        <v>-95076.190250040061</v>
      </c>
      <c r="AC38">
        <f ca="1">($C$35+($C$4/100)*$C$29)/(1+Interurbà!$M$12)^$A14+AC37</f>
        <v>-85729.380500080137</v>
      </c>
      <c r="AD38">
        <f ca="1">($C$35+($C$5/100)*$C$29)/(1+Interurbà!$M$12)^$A14+AD37</f>
        <v>-76382.570750120169</v>
      </c>
      <c r="AE38">
        <f ca="1">($C$35+($C$6/100)*$C$29)/(1+Interurbà!$M$12)^$A14+AE37</f>
        <v>-67035.761000160244</v>
      </c>
      <c r="AF38">
        <f ca="1">($C$35+($C$7/100)*$C$29)/(1+Interurbà!$M$12)^$A14+AF37</f>
        <v>-57688.951250200313</v>
      </c>
      <c r="AG38">
        <f ca="1">($C$35+($C$8/100)*$C$29)/(1+Interurbà!$M$12)^$A14+AG37</f>
        <v>-48342.141500240366</v>
      </c>
      <c r="AH38">
        <f ca="1">($C$35+($C$9/100)*$C$29)/(1+Interurbà!$M$12)^$A14+AH37</f>
        <v>-38995.331750280398</v>
      </c>
      <c r="AI38">
        <f ca="1">($C$35+($C$10/100)*$C$29)/(1+Interurbà!$M$12)^$A14+AI37</f>
        <v>-29648.522000320478</v>
      </c>
    </row>
    <row r="39" spans="1:35" x14ac:dyDescent="0.35">
      <c r="D39" t="e">
        <f ca="1">($C$32+($C$3/100)*$C$26)/(1+Interurbà!$M$12)^A15+D38</f>
        <v>#VALUE!</v>
      </c>
      <c r="E39" t="e">
        <f ca="1">($C$32+($C$4/100)*$C$26)/(1+Interurbà!$M$12)^A15+E38</f>
        <v>#VALUE!</v>
      </c>
      <c r="F39" t="e">
        <f ca="1">($C$32+($C$5/100)*$C$26)/(1+Interurbà!$M$12)^$A15+F38</f>
        <v>#VALUE!</v>
      </c>
      <c r="G39" t="e">
        <f ca="1">($C$32+($C$6/100)*$C$26)/(1+Interurbà!$M$12)^$A15+G38</f>
        <v>#VALUE!</v>
      </c>
      <c r="H39" t="e">
        <f ca="1">($C$32+($C$7/100)*$C$26)/(1+Interurbà!$M$12)^$A15+H38</f>
        <v>#VALUE!</v>
      </c>
      <c r="I39" t="e">
        <f ca="1">($C$32+($C$8/100)*$C$26)/(1+Interurbà!$M$12)^$A15+I38</f>
        <v>#VALUE!</v>
      </c>
      <c r="J39" t="e">
        <f ca="1">($C$32+($C$9/100)*$C$26)/(1+Interurbà!$M$12)^$A15+J38</f>
        <v>#VALUE!</v>
      </c>
      <c r="K39" t="e">
        <f ca="1">($C$32+($C$10/100)*$C$26)/(1+Interurbà!$M$12)^$A15+K38</f>
        <v>#VALUE!</v>
      </c>
      <c r="L39">
        <f ca="1">($C$33+($C$3/100)*$C$27)/(1+Interurbà!$M$12)^A15+L38</f>
        <v>-17044.273988986901</v>
      </c>
      <c r="M39">
        <f ca="1">($C$33+($C$4/100)*$C$27)/(1+Interurbà!$M$12)^$A15+M38</f>
        <v>30334.45202202622</v>
      </c>
      <c r="N39">
        <f ca="1">($C$33+($C$5/100)*$C$27)/(1+Interurbà!$M$12)^$A15+N38</f>
        <v>77713.178033039352</v>
      </c>
      <c r="O39">
        <f ca="1">($C$33+($C$6/100)*$C$27)/(1+Interurbà!$M$12)^$A15+O38</f>
        <v>125091.90404405245</v>
      </c>
      <c r="P39">
        <f ca="1">($C$33+($C$7/100)*$C$27)/(1+Interurbà!$M$12)^$A15+P38</f>
        <v>172470.63005506559</v>
      </c>
      <c r="Q39">
        <f ca="1">($C$33+($C$8/100)*$C$27)/(1+Interurbà!$M$12)^$A15+Q38</f>
        <v>219849.35606607873</v>
      </c>
      <c r="R39">
        <f ca="1">($C$33+($C$9/100)*$C$27)/(1+Interurbà!$M$12)^$A15+R38</f>
        <v>267228.08207709185</v>
      </c>
      <c r="S39">
        <f ca="1">($C$33+($C$10/100)*$C$27)/(1+Interurbà!$M$12)^$A15+S38</f>
        <v>314606.80808810494</v>
      </c>
      <c r="T39" t="e">
        <f ca="1">($C$34+($C$3/100)*$C$28)/(1+Interurbà!$M$12)^$A15+T38</f>
        <v>#VALUE!</v>
      </c>
      <c r="U39" t="e">
        <f ca="1">($C$34+($C$4/100)*$C$28)/(1+Interurbà!$M$12)^$A15+U38</f>
        <v>#VALUE!</v>
      </c>
      <c r="V39" t="e">
        <f ca="1">($C$34+($C$5/100)*$C$28)/(1+Interurbà!$M$12)^$A15+V38</f>
        <v>#VALUE!</v>
      </c>
      <c r="W39" t="e">
        <f ca="1">($C$34+($C$6/100)*$C$28)/(1+Interurbà!$M$12)^$A15+W38</f>
        <v>#VALUE!</v>
      </c>
      <c r="X39" t="e">
        <f ca="1">($C$34+($C$7/100)*$C$28)/(1+Interurbà!$M$12)^$A15+X38</f>
        <v>#VALUE!</v>
      </c>
      <c r="Y39" t="e">
        <f ca="1">($C$34+($C$8/100)*$C$28)/(1+Interurbà!$M$12)^$A15+Y38</f>
        <v>#VALUE!</v>
      </c>
      <c r="Z39" t="e">
        <f ca="1">($C$34+($C$9/100)*$C$28)/(1+Interurbà!$M$12)^$A15+Z38</f>
        <v>#VALUE!</v>
      </c>
      <c r="AA39" t="e">
        <f ca="1">($C$34+($C$10/100)*$C$28)/(1+Interurbà!$M$12)^$A15+AA38</f>
        <v>#VALUE!</v>
      </c>
      <c r="AB39">
        <f ca="1">($C$35+($C$3/100)*$C$29)/(1+Interurbà!$M$12)^$A15+AB38</f>
        <v>-94436.776941786462</v>
      </c>
      <c r="AC39">
        <f ca="1">($C$35+($C$4/100)*$C$29)/(1+Interurbà!$M$12)^$A15+AC38</f>
        <v>-84450.553883572953</v>
      </c>
      <c r="AD39">
        <f ca="1">($C$35+($C$5/100)*$C$29)/(1+Interurbà!$M$12)^$A15+AD38</f>
        <v>-74464.330825359386</v>
      </c>
      <c r="AE39">
        <f ca="1">($C$35+($C$6/100)*$C$29)/(1+Interurbà!$M$12)^$A15+AE38</f>
        <v>-64478.10776714587</v>
      </c>
      <c r="AF39">
        <f ca="1">($C$35+($C$7/100)*$C$29)/(1+Interurbà!$M$12)^$A15+AF38</f>
        <v>-54491.884708932346</v>
      </c>
      <c r="AG39">
        <f ca="1">($C$35+($C$8/100)*$C$29)/(1+Interurbà!$M$12)^$A15+AG38</f>
        <v>-44505.661650718801</v>
      </c>
      <c r="AH39">
        <f ca="1">($C$35+($C$9/100)*$C$29)/(1+Interurbà!$M$12)^$A15+AH38</f>
        <v>-34519.438592505241</v>
      </c>
      <c r="AI39">
        <f ca="1">($C$35+($C$10/100)*$C$29)/(1+Interurbà!$M$12)^$A15+AI38</f>
        <v>-24533.215534291725</v>
      </c>
    </row>
    <row r="40" spans="1:35" x14ac:dyDescent="0.35">
      <c r="D40" t="e">
        <f ca="1">($C$32+($C$3/100)*$C$26)/(1+Interurbà!$M$12)^A16+D39</f>
        <v>#VALUE!</v>
      </c>
      <c r="E40" t="e">
        <f ca="1">($C$32+($C$4/100)*$C$26)/(1+Interurbà!$M$12)^A16+E39</f>
        <v>#VALUE!</v>
      </c>
      <c r="F40" t="e">
        <f ca="1">($C$32+($C$5/100)*$C$26)/(1+Interurbà!$M$12)^$A16+F39</f>
        <v>#VALUE!</v>
      </c>
      <c r="G40" t="e">
        <f ca="1">($C$32+($C$6/100)*$C$26)/(1+Interurbà!$M$12)^$A16+G39</f>
        <v>#VALUE!</v>
      </c>
      <c r="H40" t="e">
        <f ca="1">($C$32+($C$7/100)*$C$26)/(1+Interurbà!$M$12)^$A16+H39</f>
        <v>#VALUE!</v>
      </c>
      <c r="I40" t="e">
        <f ca="1">($C$32+($C$8/100)*$C$26)/(1+Interurbà!$M$12)^$A16+I39</f>
        <v>#VALUE!</v>
      </c>
      <c r="J40" t="e">
        <f ca="1">($C$32+($C$9/100)*$C$26)/(1+Interurbà!$M$12)^$A16+J39</f>
        <v>#VALUE!</v>
      </c>
      <c r="K40" t="e">
        <f ca="1">($C$32+($C$10/100)*$C$26)/(1+Interurbà!$M$12)^$A16+K39</f>
        <v>#VALUE!</v>
      </c>
      <c r="L40">
        <f ca="1">($C$33+($C$3/100)*$C$27)/(1+Interurbà!$M$12)^A16+L39</f>
        <v>-14098.994164064952</v>
      </c>
      <c r="M40">
        <f ca="1">($C$33+($C$4/100)*$C$27)/(1+Interurbà!$M$12)^$A16+M39</f>
        <v>36225.011671870117</v>
      </c>
      <c r="N40">
        <f ca="1">($C$33+($C$5/100)*$C$27)/(1+Interurbà!$M$12)^$A16+N39</f>
        <v>86549.017507805198</v>
      </c>
      <c r="O40">
        <f ca="1">($C$33+($C$6/100)*$C$27)/(1+Interurbà!$M$12)^$A16+O39</f>
        <v>136873.02334374026</v>
      </c>
      <c r="P40">
        <f ca="1">($C$33+($C$7/100)*$C$27)/(1+Interurbà!$M$12)^$A16+P39</f>
        <v>187197.02917967533</v>
      </c>
      <c r="Q40">
        <f ca="1">($C$33+($C$8/100)*$C$27)/(1+Interurbà!$M$12)^$A16+Q39</f>
        <v>237521.03501561043</v>
      </c>
      <c r="R40">
        <f ca="1">($C$33+($C$9/100)*$C$27)/(1+Interurbà!$M$12)^$A16+R39</f>
        <v>287845.04085154552</v>
      </c>
      <c r="S40">
        <f ca="1">($C$33+($C$10/100)*$C$27)/(1+Interurbà!$M$12)^$A16+S39</f>
        <v>338169.04668748053</v>
      </c>
      <c r="T40" t="e">
        <f ca="1">($C$34+($C$3/100)*$C$28)/(1+Interurbà!$M$12)^$A16+T39</f>
        <v>#VALUE!</v>
      </c>
      <c r="U40" t="e">
        <f ca="1">($C$34+($C$4/100)*$C$28)/(1+Interurbà!$M$12)^$A16+U39</f>
        <v>#VALUE!</v>
      </c>
      <c r="V40" t="e">
        <f ca="1">($C$34+($C$5/100)*$C$28)/(1+Interurbà!$M$12)^$A16+V39</f>
        <v>#VALUE!</v>
      </c>
      <c r="W40" t="e">
        <f ca="1">($C$34+($C$6/100)*$C$28)/(1+Interurbà!$M$12)^$A16+W39</f>
        <v>#VALUE!</v>
      </c>
      <c r="X40" t="e">
        <f ca="1">($C$34+($C$7/100)*$C$28)/(1+Interurbà!$M$12)^$A16+X39</f>
        <v>#VALUE!</v>
      </c>
      <c r="Y40" t="e">
        <f ca="1">($C$34+($C$8/100)*$C$28)/(1+Interurbà!$M$12)^$A16+Y39</f>
        <v>#VALUE!</v>
      </c>
      <c r="Z40" t="e">
        <f ca="1">($C$34+($C$9/100)*$C$28)/(1+Interurbà!$M$12)^$A16+Z39</f>
        <v>#VALUE!</v>
      </c>
      <c r="AA40" t="e">
        <f ca="1">($C$34+($C$10/100)*$C$28)/(1+Interurbà!$M$12)^$A16+AA39</f>
        <v>#VALUE!</v>
      </c>
      <c r="AB40">
        <f ca="1">($C$35+($C$3/100)*$C$29)/(1+Interurbà!$M$12)^$A16+AB39</f>
        <v>-93815.987322122775</v>
      </c>
      <c r="AC40">
        <f ca="1">($C$35+($C$4/100)*$C$29)/(1+Interurbà!$M$12)^$A16+AC39</f>
        <v>-83208.97464424558</v>
      </c>
      <c r="AD40">
        <f ca="1">($C$35+($C$5/100)*$C$29)/(1+Interurbà!$M$12)^$A16+AD39</f>
        <v>-72601.961966368341</v>
      </c>
      <c r="AE40">
        <f ca="1">($C$35+($C$6/100)*$C$29)/(1+Interurbà!$M$12)^$A16+AE39</f>
        <v>-61994.949288491138</v>
      </c>
      <c r="AF40">
        <f ca="1">($C$35+($C$7/100)*$C$29)/(1+Interurbà!$M$12)^$A16+AF39</f>
        <v>-51387.936610613928</v>
      </c>
      <c r="AG40">
        <f ca="1">($C$35+($C$8/100)*$C$29)/(1+Interurbà!$M$12)^$A16+AG39</f>
        <v>-40780.923932736703</v>
      </c>
      <c r="AH40">
        <f ca="1">($C$35+($C$9/100)*$C$29)/(1+Interurbà!$M$12)^$A16+AH39</f>
        <v>-30173.911254859457</v>
      </c>
      <c r="AI40">
        <f ca="1">($C$35+($C$10/100)*$C$29)/(1+Interurbà!$M$12)^$A16+AI39</f>
        <v>-19566.898576982261</v>
      </c>
    </row>
    <row r="41" spans="1:35" x14ac:dyDescent="0.35">
      <c r="D41" t="e">
        <f ca="1">($C$32+($C$3/100)*$C$26)/(1+Interurbà!$M$12)^A17+D40</f>
        <v>#VALUE!</v>
      </c>
      <c r="E41" t="e">
        <f ca="1">($C$32+($C$4/100)*$C$26)/(1+Interurbà!$M$12)^A17+E40</f>
        <v>#VALUE!</v>
      </c>
      <c r="F41" t="e">
        <f ca="1">($C$32+($C$5/100)*$C$26)/(1+Interurbà!$M$12)^$A17+F40</f>
        <v>#VALUE!</v>
      </c>
      <c r="G41" t="e">
        <f ca="1">($C$32+($C$6/100)*$C$26)/(1+Interurbà!$M$12)^$A17+G40</f>
        <v>#VALUE!</v>
      </c>
      <c r="H41" t="e">
        <f ca="1">($C$32+($C$7/100)*$C$26)/(1+Interurbà!$M$12)^$A17+H40</f>
        <v>#VALUE!</v>
      </c>
      <c r="I41" t="e">
        <f ca="1">($C$32+($C$8/100)*$C$26)/(1+Interurbà!$M$12)^$A17+I40</f>
        <v>#VALUE!</v>
      </c>
      <c r="J41" t="e">
        <f ca="1">($C$32+($C$9/100)*$C$26)/(1+Interurbà!$M$12)^$A17+J40</f>
        <v>#VALUE!</v>
      </c>
      <c r="K41" t="e">
        <f ca="1">($C$32+($C$10/100)*$C$26)/(1+Interurbà!$M$12)^$A17+K40</f>
        <v>#VALUE!</v>
      </c>
      <c r="L41">
        <f ca="1">($C$33+($C$3/100)*$C$27)/(1+Interurbà!$M$12)^A17+L40</f>
        <v>-11239.499188412574</v>
      </c>
      <c r="M41">
        <f ca="1">($C$33+($C$4/100)*$C$27)/(1+Interurbà!$M$12)^$A17+M40</f>
        <v>41944.001623174874</v>
      </c>
      <c r="N41">
        <f ca="1">($C$33+($C$5/100)*$C$27)/(1+Interurbà!$M$12)^$A17+N40</f>
        <v>95127.502434762326</v>
      </c>
      <c r="O41">
        <f ca="1">($C$33+($C$6/100)*$C$27)/(1+Interurbà!$M$12)^$A17+O40</f>
        <v>148311.00324634978</v>
      </c>
      <c r="P41">
        <f ca="1">($C$33+($C$7/100)*$C$27)/(1+Interurbà!$M$12)^$A17+P40</f>
        <v>201494.50405793721</v>
      </c>
      <c r="Q41">
        <f ca="1">($C$33+($C$8/100)*$C$27)/(1+Interurbà!$M$12)^$A17+Q40</f>
        <v>254678.00486952468</v>
      </c>
      <c r="R41">
        <f ca="1">($C$33+($C$9/100)*$C$27)/(1+Interurbà!$M$12)^$A17+R40</f>
        <v>307861.50568111218</v>
      </c>
      <c r="S41">
        <f ca="1">($C$33+($C$10/100)*$C$27)/(1+Interurbà!$M$12)^$A17+S40</f>
        <v>361045.00649269955</v>
      </c>
      <c r="T41" t="e">
        <f ca="1">($C$34+($C$3/100)*$C$28)/(1+Interurbà!$M$12)^$A17+T40</f>
        <v>#VALUE!</v>
      </c>
      <c r="U41" t="e">
        <f ca="1">($C$34+($C$4/100)*$C$28)/(1+Interurbà!$M$12)^$A17+U40</f>
        <v>#VALUE!</v>
      </c>
      <c r="V41" t="e">
        <f ca="1">($C$34+($C$5/100)*$C$28)/(1+Interurbà!$M$12)^$A17+V40</f>
        <v>#VALUE!</v>
      </c>
      <c r="W41" t="e">
        <f ca="1">($C$34+($C$6/100)*$C$28)/(1+Interurbà!$M$12)^$A17+W40</f>
        <v>#VALUE!</v>
      </c>
      <c r="X41" t="e">
        <f ca="1">($C$34+($C$7/100)*$C$28)/(1+Interurbà!$M$12)^$A17+X40</f>
        <v>#VALUE!</v>
      </c>
      <c r="Y41" t="e">
        <f ca="1">($C$34+($C$8/100)*$C$28)/(1+Interurbà!$M$12)^$A17+Y40</f>
        <v>#VALUE!</v>
      </c>
      <c r="Z41" t="e">
        <f ca="1">($C$34+($C$9/100)*$C$28)/(1+Interurbà!$M$12)^$A17+Z40</f>
        <v>#VALUE!</v>
      </c>
      <c r="AA41" t="e">
        <f ca="1">($C$34+($C$10/100)*$C$28)/(1+Interurbà!$M$12)^$A17+AA40</f>
        <v>#VALUE!</v>
      </c>
      <c r="AB41">
        <f ca="1">($C$35+($C$3/100)*$C$29)/(1+Interurbà!$M$12)^$A17+AB40</f>
        <v>-93213.278953517263</v>
      </c>
      <c r="AC41">
        <f ca="1">($C$35+($C$4/100)*$C$29)/(1+Interurbà!$M$12)^$A17+AC40</f>
        <v>-82003.557907034541</v>
      </c>
      <c r="AD41">
        <f ca="1">($C$35+($C$5/100)*$C$29)/(1+Interurbà!$M$12)^$A17+AD40</f>
        <v>-70793.83686055179</v>
      </c>
      <c r="AE41">
        <f ca="1">($C$35+($C$6/100)*$C$29)/(1+Interurbà!$M$12)^$A17+AE40</f>
        <v>-59584.115814069068</v>
      </c>
      <c r="AF41">
        <f ca="1">($C$35+($C$7/100)*$C$29)/(1+Interurbà!$M$12)^$A17+AF40</f>
        <v>-48374.394767586338</v>
      </c>
      <c r="AG41">
        <f ca="1">($C$35+($C$8/100)*$C$29)/(1+Interurbà!$M$12)^$A17+AG40</f>
        <v>-37164.673721103594</v>
      </c>
      <c r="AH41">
        <f ca="1">($C$35+($C$9/100)*$C$29)/(1+Interurbà!$M$12)^$A17+AH40</f>
        <v>-25954.952674620832</v>
      </c>
      <c r="AI41">
        <f ca="1">($C$35+($C$10/100)*$C$29)/(1+Interurbà!$M$12)^$A17+AI40</f>
        <v>-14745.231628138121</v>
      </c>
    </row>
    <row r="42" spans="1:35" x14ac:dyDescent="0.35">
      <c r="D42" t="e">
        <f ca="1">($C$32+($C$3/100)*$C$26)/(1+Interurbà!$M$12)^A18+D41</f>
        <v>#VALUE!</v>
      </c>
      <c r="E42" t="e">
        <f ca="1">($C$32+($C$4/100)*$C$26)/(1+Interurbà!$M$12)^A18+E41</f>
        <v>#VALUE!</v>
      </c>
      <c r="F42" t="e">
        <f ca="1">($C$32+($C$5/100)*$C$26)/(1+Interurbà!$M$12)^$A18+F41</f>
        <v>#VALUE!</v>
      </c>
      <c r="G42" t="e">
        <f ca="1">($C$32+($C$6/100)*$C$26)/(1+Interurbà!$M$12)^$A18+G41</f>
        <v>#VALUE!</v>
      </c>
      <c r="H42" t="e">
        <f ca="1">($C$32+($C$7/100)*$C$26)/(1+Interurbà!$M$12)^$A18+H41</f>
        <v>#VALUE!</v>
      </c>
      <c r="I42" t="e">
        <f ca="1">($C$32+($C$8/100)*$C$26)/(1+Interurbà!$M$12)^$A18+I41</f>
        <v>#VALUE!</v>
      </c>
      <c r="J42" t="e">
        <f ca="1">($C$32+($C$9/100)*$C$26)/(1+Interurbà!$M$12)^$A18+J41</f>
        <v>#VALUE!</v>
      </c>
      <c r="K42" t="e">
        <f ca="1">($C$32+($C$10/100)*$C$26)/(1+Interurbà!$M$12)^$A18+K41</f>
        <v>#VALUE!</v>
      </c>
      <c r="L42">
        <f ca="1">($C$33+($C$3/100)*$C$27)/(1+Interurbà!$M$12)^A18+L41</f>
        <v>-8463.2904741869643</v>
      </c>
      <c r="M42">
        <f ca="1">($C$33+($C$4/100)*$C$27)/(1+Interurbà!$M$12)^$A18+M41</f>
        <v>47496.419051626093</v>
      </c>
      <c r="N42">
        <f ca="1">($C$33+($C$5/100)*$C$27)/(1+Interurbà!$M$12)^$A18+N41</f>
        <v>103456.12857743916</v>
      </c>
      <c r="O42">
        <f ca="1">($C$33+($C$6/100)*$C$27)/(1+Interurbà!$M$12)^$A18+O41</f>
        <v>159415.83810325223</v>
      </c>
      <c r="P42">
        <f ca="1">($C$33+($C$7/100)*$C$27)/(1+Interurbà!$M$12)^$A18+P41</f>
        <v>215375.54762906526</v>
      </c>
      <c r="Q42">
        <f ca="1">($C$33+($C$8/100)*$C$27)/(1+Interurbà!$M$12)^$A18+Q41</f>
        <v>271335.25715487835</v>
      </c>
      <c r="R42">
        <f ca="1">($C$33+($C$9/100)*$C$27)/(1+Interurbà!$M$12)^$A18+R41</f>
        <v>327294.96668069146</v>
      </c>
      <c r="S42">
        <f ca="1">($C$33+($C$10/100)*$C$27)/(1+Interurbà!$M$12)^$A18+S41</f>
        <v>383254.67620650446</v>
      </c>
      <c r="T42" t="e">
        <f ca="1">($C$34+($C$3/100)*$C$28)/(1+Interurbà!$M$12)^$A18+T41</f>
        <v>#VALUE!</v>
      </c>
      <c r="U42" t="e">
        <f ca="1">($C$34+($C$4/100)*$C$28)/(1+Interurbà!$M$12)^$A18+U41</f>
        <v>#VALUE!</v>
      </c>
      <c r="V42" t="e">
        <f ca="1">($C$34+($C$5/100)*$C$28)/(1+Interurbà!$M$12)^$A18+V41</f>
        <v>#VALUE!</v>
      </c>
      <c r="W42" t="e">
        <f ca="1">($C$34+($C$6/100)*$C$28)/(1+Interurbà!$M$12)^$A18+W41</f>
        <v>#VALUE!</v>
      </c>
      <c r="X42" t="e">
        <f ca="1">($C$34+($C$7/100)*$C$28)/(1+Interurbà!$M$12)^$A18+X41</f>
        <v>#VALUE!</v>
      </c>
      <c r="Y42" t="e">
        <f ca="1">($C$34+($C$8/100)*$C$28)/(1+Interurbà!$M$12)^$A18+Y41</f>
        <v>#VALUE!</v>
      </c>
      <c r="Z42" t="e">
        <f ca="1">($C$34+($C$9/100)*$C$28)/(1+Interurbà!$M$12)^$A18+Z41</f>
        <v>#VALUE!</v>
      </c>
      <c r="AA42" t="e">
        <f ca="1">($C$34+($C$10/100)*$C$28)/(1+Interurbà!$M$12)^$A18+AA41</f>
        <v>#VALUE!</v>
      </c>
      <c r="AB42">
        <f ca="1">($C$35+($C$3/100)*$C$29)/(1+Interurbà!$M$12)^$A18+AB41</f>
        <v>-92628.125197589572</v>
      </c>
      <c r="AC42">
        <f ca="1">($C$35+($C$4/100)*$C$29)/(1+Interurbà!$M$12)^$A18+AC41</f>
        <v>-80833.250395179173</v>
      </c>
      <c r="AD42">
        <f ca="1">($C$35+($C$5/100)*$C$29)/(1+Interurbà!$M$12)^$A18+AD41</f>
        <v>-69038.375592768731</v>
      </c>
      <c r="AE42">
        <f ca="1">($C$35+($C$6/100)*$C$29)/(1+Interurbà!$M$12)^$A18+AE41</f>
        <v>-57243.500790358317</v>
      </c>
      <c r="AF42">
        <f ca="1">($C$35+($C$7/100)*$C$29)/(1+Interurbà!$M$12)^$A18+AF41</f>
        <v>-45448.625987947904</v>
      </c>
      <c r="AG42">
        <f ca="1">($C$35+($C$8/100)*$C$29)/(1+Interurbà!$M$12)^$A18+AG41</f>
        <v>-33653.751185537469</v>
      </c>
      <c r="AH42">
        <f ca="1">($C$35+($C$9/100)*$C$29)/(1+Interurbà!$M$12)^$A18+AH41</f>
        <v>-21858.876383127023</v>
      </c>
      <c r="AI42">
        <f ca="1">($C$35+($C$10/100)*$C$29)/(1+Interurbà!$M$12)^$A18+AI41</f>
        <v>-10064.001580716624</v>
      </c>
    </row>
    <row r="43" spans="1:35" x14ac:dyDescent="0.35">
      <c r="D43" t="e">
        <f ca="1">($C$32+($C$3/100)*$C$26)/(1+Interurbà!$M$12)^A19+D42</f>
        <v>#VALUE!</v>
      </c>
      <c r="E43" t="e">
        <f ca="1">($C$32+($C$4/100)*$C$26)/(1+Interurbà!$M$12)^A19+E42</f>
        <v>#VALUE!</v>
      </c>
      <c r="F43" t="e">
        <f ca="1">($C$32+($C$5/100)*$C$26)/(1+Interurbà!$M$12)^$A19+F42</f>
        <v>#VALUE!</v>
      </c>
      <c r="G43" t="e">
        <f ca="1">($C$32+($C$6/100)*$C$26)/(1+Interurbà!$M$12)^$A19+G42</f>
        <v>#VALUE!</v>
      </c>
      <c r="H43" t="e">
        <f ca="1">($C$32+($C$7/100)*$C$26)/(1+Interurbà!$M$12)^$A19+H42</f>
        <v>#VALUE!</v>
      </c>
      <c r="I43" t="e">
        <f ca="1">($C$32+($C$8/100)*$C$26)/(1+Interurbà!$M$12)^$A19+I42</f>
        <v>#VALUE!</v>
      </c>
      <c r="J43" t="e">
        <f ca="1">($C$32+($C$9/100)*$C$26)/(1+Interurbà!$M$12)^$A19+J42</f>
        <v>#VALUE!</v>
      </c>
      <c r="K43" t="e">
        <f ca="1">($C$32+($C$10/100)*$C$26)/(1+Interurbà!$M$12)^$A19+K42</f>
        <v>#VALUE!</v>
      </c>
      <c r="L43">
        <f ca="1">($C$33+($C$3/100)*$C$27)/(1+Interurbà!$M$12)^A19+L42</f>
        <v>-5767.9422079485084</v>
      </c>
      <c r="M43">
        <f ca="1">($C$33+($C$4/100)*$C$27)/(1+Interurbà!$M$12)^$A19+M42</f>
        <v>52887.115584103005</v>
      </c>
      <c r="N43">
        <f ca="1">($C$33+($C$5/100)*$C$27)/(1+Interurbà!$M$12)^$A19+N42</f>
        <v>111542.17337615453</v>
      </c>
      <c r="O43">
        <f ca="1">($C$33+($C$6/100)*$C$27)/(1+Interurbà!$M$12)^$A19+O42</f>
        <v>170197.23116820605</v>
      </c>
      <c r="P43">
        <f ca="1">($C$33+($C$7/100)*$C$27)/(1+Interurbà!$M$12)^$A19+P42</f>
        <v>228852.28896025755</v>
      </c>
      <c r="Q43">
        <f ca="1">($C$33+($C$8/100)*$C$27)/(1+Interurbà!$M$12)^$A19+Q42</f>
        <v>287507.34675230907</v>
      </c>
      <c r="R43">
        <f ca="1">($C$33+($C$9/100)*$C$27)/(1+Interurbà!$M$12)^$A19+R42</f>
        <v>346162.40454436064</v>
      </c>
      <c r="S43">
        <f ca="1">($C$33+($C$10/100)*$C$27)/(1+Interurbà!$M$12)^$A19+S42</f>
        <v>404817.46233641211</v>
      </c>
      <c r="T43" t="e">
        <f ca="1">($C$34+($C$3/100)*$C$28)/(1+Interurbà!$M$12)^$A19+T42</f>
        <v>#VALUE!</v>
      </c>
      <c r="U43" t="e">
        <f ca="1">($C$34+($C$4/100)*$C$28)/(1+Interurbà!$M$12)^$A19+U42</f>
        <v>#VALUE!</v>
      </c>
      <c r="V43" t="e">
        <f ca="1">($C$34+($C$5/100)*$C$28)/(1+Interurbà!$M$12)^$A19+V42</f>
        <v>#VALUE!</v>
      </c>
      <c r="W43" t="e">
        <f ca="1">($C$34+($C$6/100)*$C$28)/(1+Interurbà!$M$12)^$A19+W42</f>
        <v>#VALUE!</v>
      </c>
      <c r="X43" t="e">
        <f ca="1">($C$34+($C$7/100)*$C$28)/(1+Interurbà!$M$12)^$A19+X42</f>
        <v>#VALUE!</v>
      </c>
      <c r="Y43" t="e">
        <f ca="1">($C$34+($C$8/100)*$C$28)/(1+Interurbà!$M$12)^$A19+Y42</f>
        <v>#VALUE!</v>
      </c>
      <c r="Z43" t="e">
        <f ca="1">($C$34+($C$9/100)*$C$28)/(1+Interurbà!$M$12)^$A19+Z42</f>
        <v>#VALUE!</v>
      </c>
      <c r="AA43" t="e">
        <f ca="1">($C$34+($C$10/100)*$C$28)/(1+Interurbà!$M$12)^$A19+AA42</f>
        <v>#VALUE!</v>
      </c>
      <c r="AB43">
        <f ca="1">($C$35+($C$3/100)*$C$29)/(1+Interurbà!$M$12)^$A19+AB42</f>
        <v>-92060.014754941338</v>
      </c>
      <c r="AC43">
        <f ca="1">($C$35+($C$4/100)*$C$29)/(1+Interurbà!$M$12)^$A19+AC42</f>
        <v>-79697.02950988269</v>
      </c>
      <c r="AD43">
        <f ca="1">($C$35+($C$5/100)*$C$29)/(1+Interurbà!$M$12)^$A19+AD42</f>
        <v>-67334.044264824013</v>
      </c>
      <c r="AE43">
        <f ca="1">($C$35+($C$6/100)*$C$29)/(1+Interurbà!$M$12)^$A19+AE42</f>
        <v>-54971.059019765358</v>
      </c>
      <c r="AF43">
        <f ca="1">($C$35+($C$7/100)*$C$29)/(1+Interurbà!$M$12)^$A19+AF42</f>
        <v>-42608.073774706703</v>
      </c>
      <c r="AG43">
        <f ca="1">($C$35+($C$8/100)*$C$29)/(1+Interurbà!$M$12)^$A19+AG42</f>
        <v>-30245.08852964803</v>
      </c>
      <c r="AH43">
        <f ca="1">($C$35+($C$9/100)*$C$29)/(1+Interurbà!$M$12)^$A19+AH42</f>
        <v>-17882.103284589342</v>
      </c>
      <c r="AI43">
        <f ca="1">($C$35+($C$10/100)*$C$29)/(1+Interurbà!$M$12)^$A19+AI42</f>
        <v>-5519.1180395307038</v>
      </c>
    </row>
    <row r="44" spans="1:35" x14ac:dyDescent="0.35">
      <c r="D44" t="e">
        <f ca="1">($C$32+($C$3/100)*$C$26)/(1+Interurbà!$M$12)^A20+D43</f>
        <v>#VALUE!</v>
      </c>
      <c r="E44" t="e">
        <f ca="1">($C$32+($C$4/100)*$C$26)/(1+Interurbà!$M$12)^A20+E43</f>
        <v>#VALUE!</v>
      </c>
      <c r="F44" t="e">
        <f ca="1">($C$32+($C$5/100)*$C$26)/(1+Interurbà!$M$12)^$A20+F43</f>
        <v>#VALUE!</v>
      </c>
      <c r="G44" t="e">
        <f ca="1">($C$32+($C$6/100)*$C$26)/(1+Interurbà!$M$12)^$A20+G43</f>
        <v>#VALUE!</v>
      </c>
      <c r="H44" t="e">
        <f ca="1">($C$32+($C$7/100)*$C$26)/(1+Interurbà!$M$12)^$A20+H43</f>
        <v>#VALUE!</v>
      </c>
      <c r="I44" t="e">
        <f ca="1">($C$32+($C$8/100)*$C$26)/(1+Interurbà!$M$12)^$A20+I43</f>
        <v>#VALUE!</v>
      </c>
      <c r="J44" t="e">
        <f ca="1">($C$32+($C$9/100)*$C$26)/(1+Interurbà!$M$12)^$A20+J43</f>
        <v>#VALUE!</v>
      </c>
      <c r="K44" t="e">
        <f ca="1">($C$32+($C$10/100)*$C$26)/(1+Interurbà!$M$12)^$A20+K43</f>
        <v>#VALUE!</v>
      </c>
      <c r="L44">
        <f ca="1">($C$33+($C$3/100)*$C$27)/(1+Interurbà!$M$12)^A20+L43</f>
        <v>-3151.099231017969</v>
      </c>
      <c r="M44">
        <f ca="1">($C$33+($C$4/100)*$C$27)/(1+Interurbà!$M$12)^$A20+M43</f>
        <v>58120.801537964086</v>
      </c>
      <c r="N44">
        <f ca="1">($C$33+($C$5/100)*$C$27)/(1+Interurbà!$M$12)^$A20+N43</f>
        <v>119392.70230694616</v>
      </c>
      <c r="O44">
        <f ca="1">($C$33+($C$6/100)*$C$27)/(1+Interurbà!$M$12)^$A20+O43</f>
        <v>180664.6030759282</v>
      </c>
      <c r="P44">
        <f ca="1">($C$33+($C$7/100)*$C$27)/(1+Interurbà!$M$12)^$A20+P43</f>
        <v>241936.50384491024</v>
      </c>
      <c r="Q44">
        <f ca="1">($C$33+($C$8/100)*$C$27)/(1+Interurbà!$M$12)^$A20+Q43</f>
        <v>303208.40461389231</v>
      </c>
      <c r="R44">
        <f ca="1">($C$33+($C$9/100)*$C$27)/(1+Interurbà!$M$12)^$A20+R43</f>
        <v>364480.30538287445</v>
      </c>
      <c r="S44">
        <f ca="1">($C$33+($C$10/100)*$C$27)/(1+Interurbà!$M$12)^$A20+S43</f>
        <v>425752.2061518564</v>
      </c>
      <c r="T44" t="e">
        <f ca="1">($C$34+($C$3/100)*$C$28)/(1+Interurbà!$M$12)^$A20+T43</f>
        <v>#VALUE!</v>
      </c>
      <c r="U44" t="e">
        <f ca="1">($C$34+($C$4/100)*$C$28)/(1+Interurbà!$M$12)^$A20+U43</f>
        <v>#VALUE!</v>
      </c>
      <c r="V44" t="e">
        <f ca="1">($C$34+($C$5/100)*$C$28)/(1+Interurbà!$M$12)^$A20+V43</f>
        <v>#VALUE!</v>
      </c>
      <c r="W44" t="e">
        <f ca="1">($C$34+($C$6/100)*$C$28)/(1+Interurbà!$M$12)^$A20+W43</f>
        <v>#VALUE!</v>
      </c>
      <c r="X44" t="e">
        <f ca="1">($C$34+($C$7/100)*$C$28)/(1+Interurbà!$M$12)^$A20+X43</f>
        <v>#VALUE!</v>
      </c>
      <c r="Y44" t="e">
        <f ca="1">($C$34+($C$8/100)*$C$28)/(1+Interurbà!$M$12)^$A20+Y43</f>
        <v>#VALUE!</v>
      </c>
      <c r="Z44" t="e">
        <f ca="1">($C$34+($C$9/100)*$C$28)/(1+Interurbà!$M$12)^$A20+Z43</f>
        <v>#VALUE!</v>
      </c>
      <c r="AA44" t="e">
        <f ca="1">($C$34+($C$10/100)*$C$28)/(1+Interurbà!$M$12)^$A20+AA43</f>
        <v>#VALUE!</v>
      </c>
      <c r="AB44">
        <f ca="1">($C$35+($C$3/100)*$C$29)/(1+Interurbà!$M$12)^$A20+AB43</f>
        <v>-91508.451218389644</v>
      </c>
      <c r="AC44">
        <f ca="1">($C$35+($C$4/100)*$C$29)/(1+Interurbà!$M$12)^$A20+AC43</f>
        <v>-78593.902436779317</v>
      </c>
      <c r="AD44">
        <f ca="1">($C$35+($C$5/100)*$C$29)/(1+Interurbà!$M$12)^$A20+AD43</f>
        <v>-65679.353655168947</v>
      </c>
      <c r="AE44">
        <f ca="1">($C$35+($C$6/100)*$C$29)/(1+Interurbà!$M$12)^$A20+AE43</f>
        <v>-52764.804873558598</v>
      </c>
      <c r="AF44">
        <f ca="1">($C$35+($C$7/100)*$C$29)/(1+Interurbà!$M$12)^$A20+AF43</f>
        <v>-39850.256091948257</v>
      </c>
      <c r="AG44">
        <f ca="1">($C$35+($C$8/100)*$C$29)/(1+Interurbà!$M$12)^$A20+AG43</f>
        <v>-26935.707310337893</v>
      </c>
      <c r="AH44">
        <f ca="1">($C$35+($C$9/100)*$C$29)/(1+Interurbà!$M$12)^$A20+AH43</f>
        <v>-14021.158528727517</v>
      </c>
      <c r="AI44">
        <f ca="1">($C$35+($C$10/100)*$C$29)/(1+Interurbà!$M$12)^$A20+AI43</f>
        <v>-1106.6097471171897</v>
      </c>
    </row>
    <row r="45" spans="1:35" x14ac:dyDescent="0.35">
      <c r="D45" t="e">
        <f ca="1">($C$32+($C$3/100)*$C$26)/(1+Interurbà!$M$12)^A21+D44</f>
        <v>#VALUE!</v>
      </c>
      <c r="E45" t="e">
        <f ca="1">($C$32+($C$4/100)*$C$26)/(1+Interurbà!$M$12)^A21+E44</f>
        <v>#VALUE!</v>
      </c>
      <c r="F45" t="e">
        <f ca="1">($C$32+($C$5/100)*$C$26)/(1+Interurbà!$M$12)^$A21+F44</f>
        <v>#VALUE!</v>
      </c>
      <c r="G45" t="e">
        <f ca="1">($C$32+($C$6/100)*$C$26)/(1+Interurbà!$M$12)^$A21+G44</f>
        <v>#VALUE!</v>
      </c>
      <c r="H45" t="e">
        <f ca="1">($C$32+($C$7/100)*$C$26)/(1+Interurbà!$M$12)^$A21+H44</f>
        <v>#VALUE!</v>
      </c>
      <c r="I45" t="e">
        <f ca="1">($C$32+($C$8/100)*$C$26)/(1+Interurbà!$M$12)^$A21+I44</f>
        <v>#VALUE!</v>
      </c>
      <c r="J45" t="e">
        <f ca="1">($C$32+($C$9/100)*$C$26)/(1+Interurbà!$M$12)^$A21+J44</f>
        <v>#VALUE!</v>
      </c>
      <c r="K45" t="e">
        <f ca="1">($C$32+($C$10/100)*$C$26)/(1+Interurbà!$M$12)^$A21+K44</f>
        <v>#VALUE!</v>
      </c>
      <c r="L45">
        <f ca="1">($C$33+($C$3/100)*$C$27)/(1+Interurbà!$M$12)^A21+L44</f>
        <v>-610.47498157084328</v>
      </c>
      <c r="M45">
        <f ca="1">($C$33+($C$4/100)*$C$27)/(1+Interurbà!$M$12)^$A21+M44</f>
        <v>63202.050036858338</v>
      </c>
      <c r="N45">
        <f ca="1">($C$33+($C$5/100)*$C$27)/(1+Interurbà!$M$12)^$A21+N44</f>
        <v>127014.57505528754</v>
      </c>
      <c r="O45">
        <f ca="1">($C$33+($C$6/100)*$C$27)/(1+Interurbà!$M$12)^$A21+O44</f>
        <v>190827.10007371669</v>
      </c>
      <c r="P45">
        <f ca="1">($C$33+($C$7/100)*$C$27)/(1+Interurbà!$M$12)^$A21+P44</f>
        <v>254639.62509214587</v>
      </c>
      <c r="Q45">
        <f ca="1">($C$33+($C$8/100)*$C$27)/(1+Interurbà!$M$12)^$A21+Q44</f>
        <v>318452.15011057508</v>
      </c>
      <c r="R45">
        <f ca="1">($C$33+($C$9/100)*$C$27)/(1+Interurbà!$M$12)^$A21+R44</f>
        <v>382264.67512900435</v>
      </c>
      <c r="S45">
        <f ca="1">($C$33+($C$10/100)*$C$27)/(1+Interurbà!$M$12)^$A21+S44</f>
        <v>446077.20014743338</v>
      </c>
      <c r="T45" t="e">
        <f ca="1">($C$34+($C$3/100)*$C$28)/(1+Interurbà!$M$12)^$A21+T44</f>
        <v>#VALUE!</v>
      </c>
      <c r="U45" t="e">
        <f ca="1">($C$34+($C$4/100)*$C$28)/(1+Interurbà!$M$12)^$A21+U44</f>
        <v>#VALUE!</v>
      </c>
      <c r="V45" t="e">
        <f ca="1">($C$34+($C$5/100)*$C$28)/(1+Interurbà!$M$12)^$A21+V44</f>
        <v>#VALUE!</v>
      </c>
      <c r="W45" t="e">
        <f ca="1">($C$34+($C$6/100)*$C$28)/(1+Interurbà!$M$12)^$A21+W44</f>
        <v>#VALUE!</v>
      </c>
      <c r="X45" t="e">
        <f ca="1">($C$34+($C$7/100)*$C$28)/(1+Interurbà!$M$12)^$A21+X44</f>
        <v>#VALUE!</v>
      </c>
      <c r="Y45" t="e">
        <f ca="1">($C$34+($C$8/100)*$C$28)/(1+Interurbà!$M$12)^$A21+Y44</f>
        <v>#VALUE!</v>
      </c>
      <c r="Z45" t="e">
        <f ca="1">($C$34+($C$9/100)*$C$28)/(1+Interurbà!$M$12)^$A21+Z44</f>
        <v>#VALUE!</v>
      </c>
      <c r="AA45" t="e">
        <f ca="1">($C$34+($C$10/100)*$C$28)/(1+Interurbà!$M$12)^$A21+AA44</f>
        <v>#VALUE!</v>
      </c>
      <c r="AB45">
        <f ca="1">($C$35+($C$3/100)*$C$29)/(1+Interurbà!$M$12)^$A21+AB44</f>
        <v>-90972.952639213254</v>
      </c>
      <c r="AC45">
        <f ca="1">($C$35+($C$4/100)*$C$29)/(1+Interurbà!$M$12)^$A21+AC44</f>
        <v>-77522.905278426522</v>
      </c>
      <c r="AD45">
        <f ca="1">($C$35+($C$5/100)*$C$29)/(1+Interurbà!$M$12)^$A21+AD44</f>
        <v>-64072.857917639754</v>
      </c>
      <c r="AE45">
        <f ca="1">($C$35+($C$6/100)*$C$29)/(1+Interurbà!$M$12)^$A21+AE44</f>
        <v>-50622.810556853008</v>
      </c>
      <c r="AF45">
        <f ca="1">($C$35+($C$7/100)*$C$29)/(1+Interurbà!$M$12)^$A21+AF44</f>
        <v>-37172.763196066269</v>
      </c>
      <c r="AG45">
        <f ca="1">($C$35+($C$8/100)*$C$29)/(1+Interurbà!$M$12)^$A21+AG44</f>
        <v>-23722.715835279509</v>
      </c>
      <c r="AH45">
        <f ca="1">($C$35+($C$9/100)*$C$29)/(1+Interurbà!$M$12)^$A21+AH44</f>
        <v>-10272.668474492735</v>
      </c>
      <c r="AI45">
        <f ca="1">($C$35+($C$10/100)*$C$29)/(1+Interurbà!$M$12)^$A21+AI44</f>
        <v>3177.3788862939891</v>
      </c>
    </row>
    <row r="46" spans="1:35" x14ac:dyDescent="0.35">
      <c r="D46" t="e">
        <f ca="1">($C$32+($C$3/100)*$C$26)/(1+Interurbà!$M$12)^A22+D45</f>
        <v>#VALUE!</v>
      </c>
      <c r="E46" t="e">
        <f ca="1">($C$32+($C$4/100)*$C$26)/(1+Interurbà!$M$12)^A22+E45</f>
        <v>#VALUE!</v>
      </c>
      <c r="F46" t="e">
        <f ca="1">($C$32+($C$5/100)*$C$26)/(1+Interurbà!$M$12)^$A22+F45</f>
        <v>#VALUE!</v>
      </c>
      <c r="G46" t="e">
        <f ca="1">($C$32+($C$6/100)*$C$26)/(1+Interurbà!$M$12)^$A22+G45</f>
        <v>#VALUE!</v>
      </c>
      <c r="H46" t="e">
        <f ca="1">($C$32+($C$7/100)*$C$26)/(1+Interurbà!$M$12)^$A22+H45</f>
        <v>#VALUE!</v>
      </c>
      <c r="I46" t="e">
        <f ca="1">($C$32+($C$8/100)*$C$26)/(1+Interurbà!$M$12)^$A22+I45</f>
        <v>#VALUE!</v>
      </c>
      <c r="J46" t="e">
        <f ca="1">($C$32+($C$9/100)*$C$26)/(1+Interurbà!$M$12)^$A22+J45</f>
        <v>#VALUE!</v>
      </c>
      <c r="K46" t="e">
        <f ca="1">($C$32+($C$10/100)*$C$26)/(1+Interurbà!$M$12)^$A22+K45</f>
        <v>#VALUE!</v>
      </c>
      <c r="L46">
        <f ca="1">($C$33+($C$3/100)*$C$27)/(1+Interurbà!$M$12)^A22+L45</f>
        <v>1856.1505033292788</v>
      </c>
      <c r="M46">
        <f ca="1">($C$33+($C$4/100)*$C$27)/(1+Interurbà!$M$12)^$A22+M45</f>
        <v>68135.301006658585</v>
      </c>
      <c r="N46">
        <f ca="1">($C$33+($C$5/100)*$C$27)/(1+Interurbà!$M$12)^$A22+N45</f>
        <v>134414.45150998791</v>
      </c>
      <c r="O46">
        <f ca="1">($C$33+($C$6/100)*$C$27)/(1+Interurbà!$M$12)^$A22+O45</f>
        <v>200693.60201331717</v>
      </c>
      <c r="P46">
        <f ca="1">($C$33+($C$7/100)*$C$27)/(1+Interurbà!$M$12)^$A22+P45</f>
        <v>266972.75251664646</v>
      </c>
      <c r="Q46">
        <f ca="1">($C$33+($C$8/100)*$C$27)/(1+Interurbà!$M$12)^$A22+Q45</f>
        <v>333251.90301997581</v>
      </c>
      <c r="R46">
        <f ca="1">($C$33+($C$9/100)*$C$27)/(1+Interurbà!$M$12)^$A22+R45</f>
        <v>399531.05352330522</v>
      </c>
      <c r="S46">
        <f ca="1">($C$33+($C$10/100)*$C$27)/(1+Interurbà!$M$12)^$A22+S45</f>
        <v>465810.20402663434</v>
      </c>
      <c r="T46" t="e">
        <f ca="1">($C$34+($C$3/100)*$C$28)/(1+Interurbà!$M$12)^$A22+T45</f>
        <v>#VALUE!</v>
      </c>
      <c r="U46" t="e">
        <f ca="1">($C$34+($C$4/100)*$C$28)/(1+Interurbà!$M$12)^$A22+U45</f>
        <v>#VALUE!</v>
      </c>
      <c r="V46" t="e">
        <f ca="1">($C$34+($C$5/100)*$C$28)/(1+Interurbà!$M$12)^$A22+V45</f>
        <v>#VALUE!</v>
      </c>
      <c r="W46" t="e">
        <f ca="1">($C$34+($C$6/100)*$C$28)/(1+Interurbà!$M$12)^$A22+W45</f>
        <v>#VALUE!</v>
      </c>
      <c r="X46" t="e">
        <f ca="1">($C$34+($C$7/100)*$C$28)/(1+Interurbà!$M$12)^$A22+X45</f>
        <v>#VALUE!</v>
      </c>
      <c r="Y46" t="e">
        <f ca="1">($C$34+($C$8/100)*$C$28)/(1+Interurbà!$M$12)^$A22+Y45</f>
        <v>#VALUE!</v>
      </c>
      <c r="Z46" t="e">
        <f ca="1">($C$34+($C$9/100)*$C$28)/(1+Interurbà!$M$12)^$A22+Z45</f>
        <v>#VALUE!</v>
      </c>
      <c r="AA46" t="e">
        <f ca="1">($C$34+($C$10/100)*$C$28)/(1+Interurbà!$M$12)^$A22+AA45</f>
        <v>#VALUE!</v>
      </c>
      <c r="AB46">
        <f ca="1">($C$35+($C$3/100)*$C$29)/(1+Interurbà!$M$12)^$A22+AB45</f>
        <v>-90453.05110603229</v>
      </c>
      <c r="AC46">
        <f ca="1">($C$35+($C$4/100)*$C$29)/(1+Interurbà!$M$12)^$A22+AC45</f>
        <v>-76483.102212064579</v>
      </c>
      <c r="AD46">
        <f ca="1">($C$35+($C$5/100)*$C$29)/(1+Interurbà!$M$12)^$A22+AD45</f>
        <v>-62513.153318096847</v>
      </c>
      <c r="AE46">
        <f ca="1">($C$35+($C$6/100)*$C$29)/(1+Interurbà!$M$12)^$A22+AE45</f>
        <v>-48543.204424129137</v>
      </c>
      <c r="AF46">
        <f ca="1">($C$35+($C$7/100)*$C$29)/(1+Interurbà!$M$12)^$A22+AF45</f>
        <v>-34573.255530161427</v>
      </c>
      <c r="AG46">
        <f ca="1">($C$35+($C$8/100)*$C$29)/(1+Interurbà!$M$12)^$A22+AG45</f>
        <v>-20603.306636193698</v>
      </c>
      <c r="AH46">
        <f ca="1">($C$35+($C$9/100)*$C$29)/(1+Interurbà!$M$12)^$A22+AH45</f>
        <v>-6633.3577422259568</v>
      </c>
      <c r="AI46">
        <f ca="1">($C$35+($C$10/100)*$C$29)/(1+Interurbà!$M$12)^$A22+AI45</f>
        <v>7336.5911517417362</v>
      </c>
    </row>
    <row r="47" spans="1:35" x14ac:dyDescent="0.35">
      <c r="D47">
        <v>1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</row>
    <row r="53" spans="2:3" x14ac:dyDescent="0.35">
      <c r="B53" t="s">
        <v>60</v>
      </c>
      <c r="C53" t="s">
        <v>42</v>
      </c>
    </row>
    <row r="54" spans="2:3" x14ac:dyDescent="0.35">
      <c r="B54" t="s">
        <v>62</v>
      </c>
      <c r="C54" t="s">
        <v>75</v>
      </c>
    </row>
    <row r="55" spans="2:3" x14ac:dyDescent="0.35">
      <c r="B55" t="s">
        <v>63</v>
      </c>
    </row>
  </sheetData>
  <sheetProtection algorithmName="SHA-512" hashValue="Dl/1NX8UzZSpY+AT3GZiEgbBx1SAwyL10pLT0ZhdSruYda5fPGlLhxqrxml/X9r9NTDLwnhr1wdbkSxhWpaDCw==" saltValue="vgyMRnpf5rI/+GwEtefeZ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9" tint="0.59999389629810485"/>
  </sheetPr>
  <dimension ref="A1:AA43"/>
  <sheetViews>
    <sheetView showGridLines="0" showZeros="0" topLeftCell="J1" zoomScale="70" zoomScaleNormal="70" workbookViewId="0">
      <selection activeCell="K12" sqref="K12"/>
    </sheetView>
  </sheetViews>
  <sheetFormatPr baseColWidth="10" defaultRowHeight="14.5" x14ac:dyDescent="0.35"/>
  <cols>
    <col min="1" max="1" width="6.26953125" style="7" hidden="1" customWidth="1"/>
    <col min="2" max="2" width="17" style="7" hidden="1" customWidth="1"/>
    <col min="3" max="3" width="9.54296875" style="7" hidden="1" customWidth="1"/>
    <col min="4" max="4" width="21.26953125" style="8" hidden="1" customWidth="1"/>
    <col min="5" max="5" width="6.6328125" style="7" hidden="1" customWidth="1"/>
    <col min="6" max="6" width="8.453125" style="7" hidden="1" customWidth="1"/>
    <col min="7" max="7" width="2" style="7" hidden="1" customWidth="1"/>
    <col min="8" max="9" width="5.81640625" style="7" hidden="1" customWidth="1"/>
    <col min="10" max="10" width="11" style="72" customWidth="1"/>
    <col min="11" max="11" width="17.54296875" style="72" customWidth="1"/>
    <col min="12" max="12" width="18.90625" style="72" bestFit="1" customWidth="1"/>
    <col min="13" max="13" width="15.6328125" style="72" bestFit="1" customWidth="1"/>
    <col min="14" max="14" width="16.6328125" style="72" bestFit="1" customWidth="1"/>
    <col min="15" max="15" width="12.453125" style="72" bestFit="1" customWidth="1"/>
    <col min="16" max="16" width="18" style="72" bestFit="1" customWidth="1"/>
    <col min="17" max="26" width="10.90625" style="72"/>
    <col min="27" max="27" width="8.453125" style="72" customWidth="1"/>
  </cols>
  <sheetData>
    <row r="1" spans="1:27" ht="14.5" customHeight="1" x14ac:dyDescent="0.35">
      <c r="K1" s="108" t="s">
        <v>57</v>
      </c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</row>
    <row r="2" spans="1:27" ht="14.5" customHeight="1" x14ac:dyDescent="0.35">
      <c r="K2" s="111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3"/>
    </row>
    <row r="3" spans="1:27" ht="27" customHeight="1" thickBot="1" x14ac:dyDescent="0.4">
      <c r="A3" s="7" t="s">
        <v>16</v>
      </c>
      <c r="B3" s="7" t="s">
        <v>22</v>
      </c>
      <c r="C3" s="7" t="s">
        <v>17</v>
      </c>
      <c r="D3" s="8" t="s">
        <v>23</v>
      </c>
      <c r="E3" s="7" t="s">
        <v>24</v>
      </c>
      <c r="F3" s="7" t="s">
        <v>20</v>
      </c>
      <c r="K3" s="114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6"/>
    </row>
    <row r="4" spans="1:27" x14ac:dyDescent="0.35">
      <c r="A4" s="7">
        <v>0.25</v>
      </c>
      <c r="B4" s="7">
        <v>0.25</v>
      </c>
      <c r="C4" s="7">
        <f t="shared" ref="C4:C43" si="0">$K$12*B4</f>
        <v>12.5</v>
      </c>
      <c r="D4" s="8">
        <f>C4</f>
        <v>12.5</v>
      </c>
      <c r="E4" s="7">
        <f>D4</f>
        <v>12.5</v>
      </c>
      <c r="F4" s="7">
        <v>0</v>
      </c>
      <c r="G4" s="7">
        <v>0</v>
      </c>
      <c r="H4" s="7" t="e">
        <f>IF(G4=0,IF(E4=E5,1*E4,NA()),1*E4)</f>
        <v>#N/A</v>
      </c>
      <c r="I4" s="7" t="e">
        <f>IF(H4=0,IF(F4=F5,E4,""),E4)</f>
        <v>#N/A</v>
      </c>
      <c r="U4" s="71"/>
      <c r="V4" s="71"/>
    </row>
    <row r="5" spans="1:27" ht="15" thickBot="1" x14ac:dyDescent="0.4">
      <c r="A5" s="7">
        <v>0.5</v>
      </c>
      <c r="B5" s="7">
        <f t="shared" ref="B5:B6" si="1">A5</f>
        <v>0.5</v>
      </c>
      <c r="C5" s="7">
        <f t="shared" si="0"/>
        <v>25</v>
      </c>
      <c r="D5" s="8">
        <f t="shared" ref="D5:D43" si="2">IF(AND(F4&lt;&gt;$O$12,(70*0.25+D4)&lt;$L$12),70*0.25+D4,C5)</f>
        <v>30</v>
      </c>
      <c r="E5" s="7">
        <f t="shared" ref="E5:E43" si="3">IF(AND(MOD((B5-F4),$N$12)&lt;&gt;0,D5&lt;$L$12),E4+$C$4,E4)</f>
        <v>25</v>
      </c>
      <c r="F5" s="7">
        <f t="shared" ref="F5:F43" si="4">IF(OR(AND(E5=E4,D5&gt;$L$12),B5&gt;=$N$12),B5-B4+F4,0)</f>
        <v>0</v>
      </c>
      <c r="G5" s="7">
        <v>0</v>
      </c>
      <c r="H5" s="7" t="e">
        <f t="shared" ref="H5:H43" si="5">IF(G5=0,IF(E5=E6,1*E5,NA()),1*E5)</f>
        <v>#N/A</v>
      </c>
      <c r="I5" s="7" t="e">
        <f t="shared" ref="I5:I43" si="6">IF(H5=0,IF(F5=F6,E5,""),E5)</f>
        <v>#N/A</v>
      </c>
      <c r="U5" s="71"/>
      <c r="V5" s="71"/>
    </row>
    <row r="6" spans="1:27" ht="15" thickBot="1" x14ac:dyDescent="0.4">
      <c r="A6" s="7">
        <v>0.75</v>
      </c>
      <c r="B6" s="7">
        <f t="shared" si="1"/>
        <v>0.75</v>
      </c>
      <c r="C6" s="7">
        <f t="shared" si="0"/>
        <v>37.5</v>
      </c>
      <c r="D6" s="8">
        <f t="shared" si="2"/>
        <v>47.5</v>
      </c>
      <c r="E6" s="7">
        <f t="shared" si="3"/>
        <v>37.5</v>
      </c>
      <c r="F6" s="7">
        <f t="shared" si="4"/>
        <v>0</v>
      </c>
      <c r="G6" s="7">
        <v>0</v>
      </c>
      <c r="H6" s="7" t="e">
        <f t="shared" si="5"/>
        <v>#N/A</v>
      </c>
      <c r="I6" s="7" t="e">
        <f t="shared" si="6"/>
        <v>#N/A</v>
      </c>
      <c r="K6" s="73" t="s">
        <v>49</v>
      </c>
      <c r="L6" s="74"/>
      <c r="M6" s="74"/>
      <c r="N6" s="75"/>
      <c r="O6" s="75"/>
      <c r="P6" s="75"/>
      <c r="Q6" s="79"/>
      <c r="U6" s="71"/>
      <c r="V6" s="71"/>
    </row>
    <row r="7" spans="1:27" x14ac:dyDescent="0.35">
      <c r="A7" s="7">
        <v>1</v>
      </c>
      <c r="B7" s="7">
        <f t="shared" ref="B7:B43" si="7">IF(F6=$O$12,0.25,B6+0.25)</f>
        <v>1</v>
      </c>
      <c r="C7" s="7">
        <f t="shared" si="0"/>
        <v>50</v>
      </c>
      <c r="D7" s="8">
        <f t="shared" si="2"/>
        <v>65</v>
      </c>
      <c r="E7" s="7">
        <f t="shared" si="3"/>
        <v>50</v>
      </c>
      <c r="F7" s="7">
        <f t="shared" si="4"/>
        <v>0</v>
      </c>
      <c r="G7" s="7">
        <v>0</v>
      </c>
      <c r="H7" s="7" t="e">
        <f t="shared" si="5"/>
        <v>#N/A</v>
      </c>
      <c r="I7" s="7" t="e">
        <f t="shared" si="6"/>
        <v>#N/A</v>
      </c>
      <c r="U7" s="71"/>
      <c r="V7" s="71"/>
    </row>
    <row r="8" spans="1:27" x14ac:dyDescent="0.35">
      <c r="A8" s="7">
        <v>1.25</v>
      </c>
      <c r="B8" s="7">
        <f t="shared" si="7"/>
        <v>1.25</v>
      </c>
      <c r="C8" s="7">
        <f t="shared" si="0"/>
        <v>62.5</v>
      </c>
      <c r="D8" s="8">
        <f t="shared" si="2"/>
        <v>82.5</v>
      </c>
      <c r="E8" s="7">
        <f t="shared" si="3"/>
        <v>62.5</v>
      </c>
      <c r="F8" s="7">
        <f t="shared" si="4"/>
        <v>0</v>
      </c>
      <c r="G8" s="7">
        <f>IF(F8&lt;&gt;0,G7+1,0)</f>
        <v>0</v>
      </c>
      <c r="H8" s="7" t="e">
        <f t="shared" si="5"/>
        <v>#N/A</v>
      </c>
      <c r="I8" s="7" t="e">
        <f t="shared" si="6"/>
        <v>#N/A</v>
      </c>
    </row>
    <row r="9" spans="1:27" x14ac:dyDescent="0.35">
      <c r="A9" s="7">
        <v>1.5</v>
      </c>
      <c r="B9" s="7">
        <f t="shared" si="7"/>
        <v>1.5</v>
      </c>
      <c r="C9" s="7">
        <f t="shared" si="0"/>
        <v>75</v>
      </c>
      <c r="D9" s="8">
        <f t="shared" si="2"/>
        <v>75</v>
      </c>
      <c r="E9" s="7">
        <f t="shared" si="3"/>
        <v>75</v>
      </c>
      <c r="F9" s="7">
        <f t="shared" si="4"/>
        <v>0</v>
      </c>
      <c r="G9" s="7">
        <f t="shared" ref="G9:G43" si="8">IF(F9&lt;&gt;0,G8+1,0)</f>
        <v>0</v>
      </c>
      <c r="H9" s="7" t="e">
        <f t="shared" si="5"/>
        <v>#N/A</v>
      </c>
      <c r="I9" s="7" t="e">
        <f t="shared" si="6"/>
        <v>#N/A</v>
      </c>
    </row>
    <row r="10" spans="1:27" x14ac:dyDescent="0.35">
      <c r="A10" s="7">
        <v>1.75</v>
      </c>
      <c r="B10" s="7">
        <f t="shared" si="7"/>
        <v>1.75</v>
      </c>
      <c r="C10" s="7">
        <f t="shared" si="0"/>
        <v>87.5</v>
      </c>
      <c r="D10" s="8">
        <f t="shared" si="2"/>
        <v>92.5</v>
      </c>
      <c r="E10" s="7">
        <f t="shared" si="3"/>
        <v>87.5</v>
      </c>
      <c r="F10" s="7">
        <f t="shared" si="4"/>
        <v>0</v>
      </c>
      <c r="G10" s="7">
        <f t="shared" si="8"/>
        <v>0</v>
      </c>
      <c r="H10" s="7">
        <f t="shared" si="5"/>
        <v>87.5</v>
      </c>
      <c r="I10" s="7">
        <f t="shared" si="6"/>
        <v>87.5</v>
      </c>
      <c r="K10" s="177" t="s">
        <v>37</v>
      </c>
      <c r="L10" s="178"/>
      <c r="M10" s="178"/>
      <c r="N10" s="178"/>
      <c r="O10" s="178"/>
      <c r="P10" s="178"/>
    </row>
    <row r="11" spans="1:27" x14ac:dyDescent="0.35">
      <c r="A11" s="7">
        <v>2</v>
      </c>
      <c r="B11" s="7">
        <f t="shared" si="7"/>
        <v>2</v>
      </c>
      <c r="C11" s="7">
        <f t="shared" si="0"/>
        <v>100</v>
      </c>
      <c r="D11" s="8">
        <f t="shared" si="2"/>
        <v>100</v>
      </c>
      <c r="E11" s="7">
        <f t="shared" si="3"/>
        <v>87.5</v>
      </c>
      <c r="F11" s="7">
        <f t="shared" si="4"/>
        <v>0</v>
      </c>
      <c r="G11" s="7">
        <f t="shared" si="8"/>
        <v>0</v>
      </c>
      <c r="H11" s="7">
        <f t="shared" si="5"/>
        <v>87.5</v>
      </c>
      <c r="I11" s="7">
        <f t="shared" si="6"/>
        <v>87.5</v>
      </c>
      <c r="K11" s="52" t="s">
        <v>18</v>
      </c>
      <c r="L11" s="52" t="s">
        <v>50</v>
      </c>
      <c r="M11" s="52" t="s">
        <v>19</v>
      </c>
      <c r="N11" s="52" t="s">
        <v>21</v>
      </c>
      <c r="O11" s="52" t="s">
        <v>20</v>
      </c>
      <c r="P11" s="80" t="s">
        <v>51</v>
      </c>
    </row>
    <row r="12" spans="1:27" x14ac:dyDescent="0.35">
      <c r="A12" s="7">
        <v>2.25</v>
      </c>
      <c r="B12" s="7">
        <f t="shared" si="7"/>
        <v>2.25</v>
      </c>
      <c r="C12" s="7">
        <f t="shared" si="0"/>
        <v>112.5</v>
      </c>
      <c r="D12" s="8">
        <f t="shared" si="2"/>
        <v>112.5</v>
      </c>
      <c r="E12" s="7">
        <f t="shared" si="3"/>
        <v>87.5</v>
      </c>
      <c r="F12" s="7">
        <f t="shared" si="4"/>
        <v>0.25</v>
      </c>
      <c r="G12" s="7">
        <f t="shared" si="8"/>
        <v>1</v>
      </c>
      <c r="H12" s="7">
        <f t="shared" si="5"/>
        <v>87.5</v>
      </c>
      <c r="I12" s="7">
        <f t="shared" si="6"/>
        <v>87.5</v>
      </c>
      <c r="K12" s="16">
        <v>50</v>
      </c>
      <c r="L12" s="17">
        <v>100</v>
      </c>
      <c r="M12" s="17">
        <v>0.5</v>
      </c>
      <c r="N12" s="17">
        <v>4.5</v>
      </c>
      <c r="O12" s="17">
        <v>0.75</v>
      </c>
      <c r="P12" s="78">
        <f>$E$43</f>
        <v>350</v>
      </c>
    </row>
    <row r="13" spans="1:27" x14ac:dyDescent="0.35">
      <c r="A13" s="7">
        <v>2.5</v>
      </c>
      <c r="B13" s="7">
        <f t="shared" si="7"/>
        <v>2.5</v>
      </c>
      <c r="C13" s="7">
        <f t="shared" si="0"/>
        <v>125</v>
      </c>
      <c r="D13" s="8">
        <f t="shared" si="2"/>
        <v>125</v>
      </c>
      <c r="E13" s="7">
        <f t="shared" si="3"/>
        <v>87.5</v>
      </c>
      <c r="F13" s="7">
        <f t="shared" si="4"/>
        <v>0.5</v>
      </c>
      <c r="G13" s="7">
        <f t="shared" si="8"/>
        <v>2</v>
      </c>
      <c r="H13" s="7">
        <f t="shared" si="5"/>
        <v>87.5</v>
      </c>
      <c r="I13" s="7">
        <f t="shared" si="6"/>
        <v>87.5</v>
      </c>
    </row>
    <row r="14" spans="1:27" x14ac:dyDescent="0.35">
      <c r="A14" s="7">
        <v>2.75</v>
      </c>
      <c r="B14" s="7">
        <f t="shared" si="7"/>
        <v>2.75</v>
      </c>
      <c r="C14" s="7">
        <f t="shared" si="0"/>
        <v>137.5</v>
      </c>
      <c r="D14" s="8">
        <f t="shared" si="2"/>
        <v>137.5</v>
      </c>
      <c r="E14" s="7">
        <f t="shared" si="3"/>
        <v>87.5</v>
      </c>
      <c r="F14" s="7">
        <f t="shared" si="4"/>
        <v>0.75</v>
      </c>
      <c r="G14" s="7">
        <f t="shared" si="8"/>
        <v>3</v>
      </c>
      <c r="H14" s="7">
        <f t="shared" si="5"/>
        <v>87.5</v>
      </c>
      <c r="I14" s="7">
        <f t="shared" si="6"/>
        <v>87.5</v>
      </c>
      <c r="P14" s="76"/>
    </row>
    <row r="15" spans="1:27" x14ac:dyDescent="0.35">
      <c r="A15" s="7">
        <v>3</v>
      </c>
      <c r="B15" s="7">
        <f t="shared" si="7"/>
        <v>0.25</v>
      </c>
      <c r="C15" s="7">
        <f t="shared" si="0"/>
        <v>12.5</v>
      </c>
      <c r="D15" s="8">
        <f t="shared" si="2"/>
        <v>12.5</v>
      </c>
      <c r="E15" s="7">
        <f t="shared" si="3"/>
        <v>100</v>
      </c>
      <c r="F15" s="7">
        <f t="shared" si="4"/>
        <v>0</v>
      </c>
      <c r="G15" s="7">
        <f t="shared" si="8"/>
        <v>0</v>
      </c>
      <c r="H15" s="7" t="e">
        <f t="shared" si="5"/>
        <v>#N/A</v>
      </c>
      <c r="I15" s="7" t="e">
        <f t="shared" si="6"/>
        <v>#N/A</v>
      </c>
    </row>
    <row r="16" spans="1:27" x14ac:dyDescent="0.35">
      <c r="A16" s="7">
        <v>3.25</v>
      </c>
      <c r="B16" s="7">
        <f t="shared" si="7"/>
        <v>0.5</v>
      </c>
      <c r="C16" s="7">
        <f t="shared" si="0"/>
        <v>25</v>
      </c>
      <c r="D16" s="8">
        <f t="shared" si="2"/>
        <v>30</v>
      </c>
      <c r="E16" s="7">
        <f t="shared" si="3"/>
        <v>112.5</v>
      </c>
      <c r="F16" s="7">
        <f t="shared" si="4"/>
        <v>0</v>
      </c>
      <c r="G16" s="7">
        <f t="shared" si="8"/>
        <v>0</v>
      </c>
      <c r="H16" s="7" t="e">
        <f t="shared" si="5"/>
        <v>#N/A</v>
      </c>
      <c r="I16" s="7" t="e">
        <f t="shared" si="6"/>
        <v>#N/A</v>
      </c>
      <c r="P16" s="77"/>
    </row>
    <row r="17" spans="1:9" x14ac:dyDescent="0.35">
      <c r="A17" s="7">
        <v>3.5</v>
      </c>
      <c r="B17" s="7">
        <f t="shared" si="7"/>
        <v>0.75</v>
      </c>
      <c r="C17" s="7">
        <f t="shared" si="0"/>
        <v>37.5</v>
      </c>
      <c r="D17" s="8">
        <f t="shared" si="2"/>
        <v>47.5</v>
      </c>
      <c r="E17" s="7">
        <f t="shared" si="3"/>
        <v>125</v>
      </c>
      <c r="F17" s="7">
        <f t="shared" si="4"/>
        <v>0</v>
      </c>
      <c r="G17" s="7">
        <f t="shared" si="8"/>
        <v>0</v>
      </c>
      <c r="H17" s="9" t="e">
        <f t="shared" si="5"/>
        <v>#N/A</v>
      </c>
      <c r="I17" s="7" t="e">
        <f t="shared" si="6"/>
        <v>#N/A</v>
      </c>
    </row>
    <row r="18" spans="1:9" x14ac:dyDescent="0.35">
      <c r="A18" s="7">
        <v>3.75</v>
      </c>
      <c r="B18" s="7">
        <f t="shared" si="7"/>
        <v>1</v>
      </c>
      <c r="C18" s="7">
        <f t="shared" si="0"/>
        <v>50</v>
      </c>
      <c r="D18" s="8">
        <f t="shared" si="2"/>
        <v>65</v>
      </c>
      <c r="E18" s="7">
        <f t="shared" si="3"/>
        <v>137.5</v>
      </c>
      <c r="F18" s="7">
        <f t="shared" si="4"/>
        <v>0</v>
      </c>
      <c r="G18" s="7">
        <f t="shared" si="8"/>
        <v>0</v>
      </c>
      <c r="H18" s="9" t="e">
        <f t="shared" si="5"/>
        <v>#N/A</v>
      </c>
      <c r="I18" s="7" t="e">
        <f t="shared" si="6"/>
        <v>#N/A</v>
      </c>
    </row>
    <row r="19" spans="1:9" x14ac:dyDescent="0.35">
      <c r="A19" s="7">
        <v>4</v>
      </c>
      <c r="B19" s="7">
        <f t="shared" si="7"/>
        <v>1.25</v>
      </c>
      <c r="C19" s="7">
        <f t="shared" si="0"/>
        <v>62.5</v>
      </c>
      <c r="D19" s="8">
        <f t="shared" si="2"/>
        <v>82.5</v>
      </c>
      <c r="E19" s="7">
        <f t="shared" si="3"/>
        <v>150</v>
      </c>
      <c r="F19" s="7">
        <f t="shared" si="4"/>
        <v>0</v>
      </c>
      <c r="G19" s="7">
        <f t="shared" si="8"/>
        <v>0</v>
      </c>
      <c r="H19" s="9" t="e">
        <f t="shared" si="5"/>
        <v>#N/A</v>
      </c>
      <c r="I19" s="7" t="e">
        <f t="shared" si="6"/>
        <v>#N/A</v>
      </c>
    </row>
    <row r="20" spans="1:9" x14ac:dyDescent="0.35">
      <c r="A20" s="7">
        <v>4.25</v>
      </c>
      <c r="B20" s="7">
        <f t="shared" si="7"/>
        <v>1.5</v>
      </c>
      <c r="C20" s="7">
        <f t="shared" si="0"/>
        <v>75</v>
      </c>
      <c r="D20" s="8">
        <f t="shared" si="2"/>
        <v>75</v>
      </c>
      <c r="E20" s="7">
        <f t="shared" si="3"/>
        <v>162.5</v>
      </c>
      <c r="F20" s="7">
        <f t="shared" si="4"/>
        <v>0</v>
      </c>
      <c r="G20" s="7">
        <f t="shared" si="8"/>
        <v>0</v>
      </c>
      <c r="H20" s="9" t="e">
        <f t="shared" si="5"/>
        <v>#N/A</v>
      </c>
      <c r="I20" s="7" t="e">
        <f t="shared" si="6"/>
        <v>#N/A</v>
      </c>
    </row>
    <row r="21" spans="1:9" x14ac:dyDescent="0.35">
      <c r="A21" s="7">
        <v>4.5</v>
      </c>
      <c r="B21" s="7">
        <f t="shared" si="7"/>
        <v>1.75</v>
      </c>
      <c r="C21" s="7">
        <f t="shared" si="0"/>
        <v>87.5</v>
      </c>
      <c r="D21" s="8">
        <f t="shared" si="2"/>
        <v>92.5</v>
      </c>
      <c r="E21" s="7">
        <f t="shared" si="3"/>
        <v>175</v>
      </c>
      <c r="F21" s="7">
        <f t="shared" si="4"/>
        <v>0</v>
      </c>
      <c r="G21" s="7">
        <f t="shared" si="8"/>
        <v>0</v>
      </c>
      <c r="H21" s="7">
        <f t="shared" si="5"/>
        <v>175</v>
      </c>
      <c r="I21" s="7">
        <f t="shared" si="6"/>
        <v>175</v>
      </c>
    </row>
    <row r="22" spans="1:9" x14ac:dyDescent="0.35">
      <c r="A22" s="7">
        <v>4.75</v>
      </c>
      <c r="B22" s="7">
        <f t="shared" si="7"/>
        <v>2</v>
      </c>
      <c r="C22" s="7">
        <f t="shared" si="0"/>
        <v>100</v>
      </c>
      <c r="D22" s="8">
        <f t="shared" si="2"/>
        <v>100</v>
      </c>
      <c r="E22" s="7">
        <f t="shared" si="3"/>
        <v>175</v>
      </c>
      <c r="F22" s="7">
        <f t="shared" si="4"/>
        <v>0</v>
      </c>
      <c r="G22" s="7">
        <f t="shared" si="8"/>
        <v>0</v>
      </c>
      <c r="H22" s="7">
        <f t="shared" si="5"/>
        <v>175</v>
      </c>
      <c r="I22" s="7">
        <f t="shared" si="6"/>
        <v>175</v>
      </c>
    </row>
    <row r="23" spans="1:9" x14ac:dyDescent="0.35">
      <c r="A23" s="7">
        <v>5</v>
      </c>
      <c r="B23" s="7">
        <f t="shared" si="7"/>
        <v>2.25</v>
      </c>
      <c r="C23" s="7">
        <f t="shared" si="0"/>
        <v>112.5</v>
      </c>
      <c r="D23" s="8">
        <f t="shared" si="2"/>
        <v>112.5</v>
      </c>
      <c r="E23" s="7">
        <f t="shared" si="3"/>
        <v>175</v>
      </c>
      <c r="F23" s="7">
        <f t="shared" si="4"/>
        <v>0.25</v>
      </c>
      <c r="G23" s="7">
        <f t="shared" si="8"/>
        <v>1</v>
      </c>
      <c r="H23" s="7">
        <f t="shared" si="5"/>
        <v>175</v>
      </c>
      <c r="I23" s="7">
        <f t="shared" si="6"/>
        <v>175</v>
      </c>
    </row>
    <row r="24" spans="1:9" x14ac:dyDescent="0.35">
      <c r="A24" s="7">
        <v>5.25</v>
      </c>
      <c r="B24" s="7">
        <f t="shared" si="7"/>
        <v>2.5</v>
      </c>
      <c r="C24" s="7">
        <f t="shared" si="0"/>
        <v>125</v>
      </c>
      <c r="D24" s="8">
        <f t="shared" si="2"/>
        <v>125</v>
      </c>
      <c r="E24" s="7">
        <f t="shared" si="3"/>
        <v>175</v>
      </c>
      <c r="F24" s="7">
        <f t="shared" si="4"/>
        <v>0.5</v>
      </c>
      <c r="G24" s="7">
        <f t="shared" si="8"/>
        <v>2</v>
      </c>
      <c r="H24" s="7">
        <f t="shared" si="5"/>
        <v>175</v>
      </c>
      <c r="I24" s="7">
        <f t="shared" si="6"/>
        <v>175</v>
      </c>
    </row>
    <row r="25" spans="1:9" x14ac:dyDescent="0.35">
      <c r="A25" s="7">
        <v>5.5</v>
      </c>
      <c r="B25" s="7">
        <f t="shared" si="7"/>
        <v>2.75</v>
      </c>
      <c r="C25" s="7">
        <f t="shared" si="0"/>
        <v>137.5</v>
      </c>
      <c r="D25" s="8">
        <f t="shared" si="2"/>
        <v>137.5</v>
      </c>
      <c r="E25" s="7">
        <f t="shared" si="3"/>
        <v>175</v>
      </c>
      <c r="F25" s="7">
        <f t="shared" si="4"/>
        <v>0.75</v>
      </c>
      <c r="G25" s="7">
        <f t="shared" si="8"/>
        <v>3</v>
      </c>
      <c r="H25" s="7">
        <f t="shared" si="5"/>
        <v>175</v>
      </c>
      <c r="I25" s="7">
        <f t="shared" si="6"/>
        <v>175</v>
      </c>
    </row>
    <row r="26" spans="1:9" x14ac:dyDescent="0.35">
      <c r="A26" s="7">
        <v>5.75</v>
      </c>
      <c r="B26" s="7">
        <f t="shared" si="7"/>
        <v>0.25</v>
      </c>
      <c r="C26" s="7">
        <f t="shared" si="0"/>
        <v>12.5</v>
      </c>
      <c r="D26" s="8">
        <f t="shared" si="2"/>
        <v>12.5</v>
      </c>
      <c r="E26" s="7">
        <f t="shared" si="3"/>
        <v>187.5</v>
      </c>
      <c r="F26" s="7">
        <f t="shared" si="4"/>
        <v>0</v>
      </c>
      <c r="G26" s="7">
        <f t="shared" si="8"/>
        <v>0</v>
      </c>
      <c r="H26" s="7" t="e">
        <f t="shared" si="5"/>
        <v>#N/A</v>
      </c>
      <c r="I26" s="7" t="e">
        <f t="shared" si="6"/>
        <v>#N/A</v>
      </c>
    </row>
    <row r="27" spans="1:9" x14ac:dyDescent="0.35">
      <c r="A27" s="7">
        <v>6</v>
      </c>
      <c r="B27" s="7">
        <f t="shared" si="7"/>
        <v>0.5</v>
      </c>
      <c r="C27" s="7">
        <f t="shared" si="0"/>
        <v>25</v>
      </c>
      <c r="D27" s="8">
        <f t="shared" si="2"/>
        <v>30</v>
      </c>
      <c r="E27" s="7">
        <f t="shared" si="3"/>
        <v>200</v>
      </c>
      <c r="F27" s="7">
        <f t="shared" si="4"/>
        <v>0</v>
      </c>
      <c r="G27" s="7">
        <f t="shared" si="8"/>
        <v>0</v>
      </c>
      <c r="H27" s="7" t="e">
        <f t="shared" si="5"/>
        <v>#N/A</v>
      </c>
      <c r="I27" s="7" t="e">
        <f t="shared" si="6"/>
        <v>#N/A</v>
      </c>
    </row>
    <row r="28" spans="1:9" x14ac:dyDescent="0.35">
      <c r="A28" s="7">
        <v>6.25</v>
      </c>
      <c r="B28" s="7">
        <f t="shared" si="7"/>
        <v>0.75</v>
      </c>
      <c r="C28" s="7">
        <f t="shared" si="0"/>
        <v>37.5</v>
      </c>
      <c r="D28" s="8">
        <f t="shared" si="2"/>
        <v>47.5</v>
      </c>
      <c r="E28" s="7">
        <f t="shared" si="3"/>
        <v>212.5</v>
      </c>
      <c r="F28" s="7">
        <f t="shared" si="4"/>
        <v>0</v>
      </c>
      <c r="G28" s="7">
        <f t="shared" si="8"/>
        <v>0</v>
      </c>
      <c r="H28" s="7" t="e">
        <f t="shared" si="5"/>
        <v>#N/A</v>
      </c>
      <c r="I28" s="7" t="e">
        <f t="shared" si="6"/>
        <v>#N/A</v>
      </c>
    </row>
    <row r="29" spans="1:9" x14ac:dyDescent="0.35">
      <c r="A29" s="7">
        <v>6.5</v>
      </c>
      <c r="B29" s="7">
        <f t="shared" si="7"/>
        <v>1</v>
      </c>
      <c r="C29" s="7">
        <f t="shared" si="0"/>
        <v>50</v>
      </c>
      <c r="D29" s="8">
        <f t="shared" si="2"/>
        <v>65</v>
      </c>
      <c r="E29" s="7">
        <f t="shared" si="3"/>
        <v>225</v>
      </c>
      <c r="F29" s="7">
        <f t="shared" si="4"/>
        <v>0</v>
      </c>
      <c r="G29" s="7">
        <f t="shared" si="8"/>
        <v>0</v>
      </c>
      <c r="H29" s="7" t="e">
        <f t="shared" si="5"/>
        <v>#N/A</v>
      </c>
      <c r="I29" s="7" t="e">
        <f t="shared" si="6"/>
        <v>#N/A</v>
      </c>
    </row>
    <row r="30" spans="1:9" x14ac:dyDescent="0.35">
      <c r="A30" s="7">
        <v>6.75</v>
      </c>
      <c r="B30" s="7">
        <f t="shared" si="7"/>
        <v>1.25</v>
      </c>
      <c r="C30" s="7">
        <f t="shared" si="0"/>
        <v>62.5</v>
      </c>
      <c r="D30" s="8">
        <f t="shared" si="2"/>
        <v>82.5</v>
      </c>
      <c r="E30" s="7">
        <f t="shared" si="3"/>
        <v>237.5</v>
      </c>
      <c r="F30" s="7">
        <f t="shared" si="4"/>
        <v>0</v>
      </c>
      <c r="G30" s="7">
        <f t="shared" si="8"/>
        <v>0</v>
      </c>
      <c r="H30" s="7" t="e">
        <f t="shared" si="5"/>
        <v>#N/A</v>
      </c>
      <c r="I30" s="7" t="e">
        <f t="shared" si="6"/>
        <v>#N/A</v>
      </c>
    </row>
    <row r="31" spans="1:9" x14ac:dyDescent="0.35">
      <c r="A31" s="7">
        <v>7</v>
      </c>
      <c r="B31" s="7">
        <f t="shared" si="7"/>
        <v>1.5</v>
      </c>
      <c r="C31" s="7">
        <f t="shared" si="0"/>
        <v>75</v>
      </c>
      <c r="D31" s="8">
        <f t="shared" si="2"/>
        <v>75</v>
      </c>
      <c r="E31" s="7">
        <f t="shared" si="3"/>
        <v>250</v>
      </c>
      <c r="F31" s="7">
        <f t="shared" si="4"/>
        <v>0</v>
      </c>
      <c r="G31" s="7">
        <f t="shared" si="8"/>
        <v>0</v>
      </c>
      <c r="H31" s="7" t="e">
        <f t="shared" si="5"/>
        <v>#N/A</v>
      </c>
      <c r="I31" s="7" t="e">
        <f t="shared" si="6"/>
        <v>#N/A</v>
      </c>
    </row>
    <row r="32" spans="1:9" x14ac:dyDescent="0.35">
      <c r="A32" s="7">
        <v>7.25</v>
      </c>
      <c r="B32" s="7">
        <f t="shared" si="7"/>
        <v>1.75</v>
      </c>
      <c r="C32" s="7">
        <f t="shared" si="0"/>
        <v>87.5</v>
      </c>
      <c r="D32" s="8">
        <f t="shared" si="2"/>
        <v>92.5</v>
      </c>
      <c r="E32" s="7">
        <f t="shared" si="3"/>
        <v>262.5</v>
      </c>
      <c r="F32" s="7">
        <f t="shared" si="4"/>
        <v>0</v>
      </c>
      <c r="G32" s="7">
        <f t="shared" si="8"/>
        <v>0</v>
      </c>
      <c r="H32" s="7">
        <f t="shared" si="5"/>
        <v>262.5</v>
      </c>
      <c r="I32" s="7">
        <f t="shared" si="6"/>
        <v>262.5</v>
      </c>
    </row>
    <row r="33" spans="1:9" x14ac:dyDescent="0.35">
      <c r="A33" s="7">
        <v>7.5</v>
      </c>
      <c r="B33" s="7">
        <f t="shared" si="7"/>
        <v>2</v>
      </c>
      <c r="C33" s="7">
        <f t="shared" si="0"/>
        <v>100</v>
      </c>
      <c r="D33" s="8">
        <f t="shared" si="2"/>
        <v>100</v>
      </c>
      <c r="E33" s="7">
        <f t="shared" si="3"/>
        <v>262.5</v>
      </c>
      <c r="F33" s="7">
        <f t="shared" si="4"/>
        <v>0</v>
      </c>
      <c r="G33" s="7">
        <f t="shared" si="8"/>
        <v>0</v>
      </c>
      <c r="H33" s="7">
        <f t="shared" si="5"/>
        <v>262.5</v>
      </c>
      <c r="I33" s="7">
        <f t="shared" si="6"/>
        <v>262.5</v>
      </c>
    </row>
    <row r="34" spans="1:9" x14ac:dyDescent="0.35">
      <c r="A34" s="7">
        <v>7.75</v>
      </c>
      <c r="B34" s="7">
        <f t="shared" si="7"/>
        <v>2.25</v>
      </c>
      <c r="C34" s="7">
        <f t="shared" si="0"/>
        <v>112.5</v>
      </c>
      <c r="D34" s="8">
        <f t="shared" si="2"/>
        <v>112.5</v>
      </c>
      <c r="E34" s="7">
        <f t="shared" si="3"/>
        <v>262.5</v>
      </c>
      <c r="F34" s="7">
        <f t="shared" si="4"/>
        <v>0.25</v>
      </c>
      <c r="G34" s="7">
        <f t="shared" si="8"/>
        <v>1</v>
      </c>
      <c r="H34" s="9">
        <f t="shared" si="5"/>
        <v>262.5</v>
      </c>
      <c r="I34" s="7">
        <f t="shared" si="6"/>
        <v>262.5</v>
      </c>
    </row>
    <row r="35" spans="1:9" x14ac:dyDescent="0.35">
      <c r="A35" s="7">
        <v>8</v>
      </c>
      <c r="B35" s="7">
        <f t="shared" si="7"/>
        <v>2.5</v>
      </c>
      <c r="C35" s="7">
        <f t="shared" si="0"/>
        <v>125</v>
      </c>
      <c r="D35" s="8">
        <f t="shared" si="2"/>
        <v>125</v>
      </c>
      <c r="E35" s="7">
        <f t="shared" si="3"/>
        <v>262.5</v>
      </c>
      <c r="F35" s="7">
        <f t="shared" si="4"/>
        <v>0.5</v>
      </c>
      <c r="G35" s="7">
        <f t="shared" si="8"/>
        <v>2</v>
      </c>
      <c r="H35" s="9">
        <f t="shared" si="5"/>
        <v>262.5</v>
      </c>
      <c r="I35" s="7">
        <f t="shared" si="6"/>
        <v>262.5</v>
      </c>
    </row>
    <row r="36" spans="1:9" x14ac:dyDescent="0.35">
      <c r="A36" s="7">
        <v>8.25</v>
      </c>
      <c r="B36" s="7">
        <f t="shared" si="7"/>
        <v>2.75</v>
      </c>
      <c r="C36" s="7">
        <f t="shared" si="0"/>
        <v>137.5</v>
      </c>
      <c r="D36" s="8">
        <f t="shared" si="2"/>
        <v>137.5</v>
      </c>
      <c r="E36" s="7">
        <f t="shared" si="3"/>
        <v>262.5</v>
      </c>
      <c r="F36" s="7">
        <f t="shared" si="4"/>
        <v>0.75</v>
      </c>
      <c r="G36" s="7">
        <f t="shared" si="8"/>
        <v>3</v>
      </c>
      <c r="H36" s="9">
        <f t="shared" si="5"/>
        <v>262.5</v>
      </c>
      <c r="I36" s="7">
        <f t="shared" si="6"/>
        <v>262.5</v>
      </c>
    </row>
    <row r="37" spans="1:9" x14ac:dyDescent="0.35">
      <c r="A37" s="7">
        <v>8.5</v>
      </c>
      <c r="B37" s="7">
        <f t="shared" si="7"/>
        <v>0.25</v>
      </c>
      <c r="C37" s="7">
        <f t="shared" si="0"/>
        <v>12.5</v>
      </c>
      <c r="D37" s="8">
        <f t="shared" si="2"/>
        <v>12.5</v>
      </c>
      <c r="E37" s="7">
        <f t="shared" si="3"/>
        <v>275</v>
      </c>
      <c r="F37" s="7">
        <f t="shared" si="4"/>
        <v>0</v>
      </c>
      <c r="G37" s="7">
        <f t="shared" si="8"/>
        <v>0</v>
      </c>
      <c r="H37" s="9" t="e">
        <f t="shared" si="5"/>
        <v>#N/A</v>
      </c>
      <c r="I37" s="7" t="e">
        <f t="shared" si="6"/>
        <v>#N/A</v>
      </c>
    </row>
    <row r="38" spans="1:9" x14ac:dyDescent="0.35">
      <c r="A38" s="7">
        <v>8.75</v>
      </c>
      <c r="B38" s="7">
        <f t="shared" si="7"/>
        <v>0.5</v>
      </c>
      <c r="C38" s="7">
        <f t="shared" si="0"/>
        <v>25</v>
      </c>
      <c r="D38" s="8">
        <f t="shared" si="2"/>
        <v>30</v>
      </c>
      <c r="E38" s="7">
        <f t="shared" si="3"/>
        <v>287.5</v>
      </c>
      <c r="F38" s="7">
        <f t="shared" si="4"/>
        <v>0</v>
      </c>
      <c r="G38" s="7">
        <f t="shared" si="8"/>
        <v>0</v>
      </c>
      <c r="H38" s="7" t="e">
        <f t="shared" si="5"/>
        <v>#N/A</v>
      </c>
      <c r="I38" s="7" t="e">
        <f t="shared" si="6"/>
        <v>#N/A</v>
      </c>
    </row>
    <row r="39" spans="1:9" x14ac:dyDescent="0.35">
      <c r="A39" s="7">
        <v>9</v>
      </c>
      <c r="B39" s="7">
        <f t="shared" si="7"/>
        <v>0.75</v>
      </c>
      <c r="C39" s="7">
        <f t="shared" si="0"/>
        <v>37.5</v>
      </c>
      <c r="D39" s="8">
        <f t="shared" si="2"/>
        <v>47.5</v>
      </c>
      <c r="E39" s="7">
        <f t="shared" si="3"/>
        <v>300</v>
      </c>
      <c r="F39" s="7">
        <f t="shared" si="4"/>
        <v>0</v>
      </c>
      <c r="G39" s="7">
        <f t="shared" si="8"/>
        <v>0</v>
      </c>
      <c r="H39" s="7" t="e">
        <f t="shared" si="5"/>
        <v>#N/A</v>
      </c>
      <c r="I39" s="7" t="e">
        <f t="shared" si="6"/>
        <v>#N/A</v>
      </c>
    </row>
    <row r="40" spans="1:9" x14ac:dyDescent="0.35">
      <c r="A40" s="7">
        <v>9.25</v>
      </c>
      <c r="B40" s="7">
        <f t="shared" si="7"/>
        <v>1</v>
      </c>
      <c r="C40" s="7">
        <f t="shared" si="0"/>
        <v>50</v>
      </c>
      <c r="D40" s="8">
        <f t="shared" si="2"/>
        <v>65</v>
      </c>
      <c r="E40" s="7">
        <f t="shared" si="3"/>
        <v>312.5</v>
      </c>
      <c r="F40" s="7">
        <f t="shared" si="4"/>
        <v>0</v>
      </c>
      <c r="G40" s="7">
        <f t="shared" si="8"/>
        <v>0</v>
      </c>
      <c r="H40" s="7" t="e">
        <f t="shared" si="5"/>
        <v>#N/A</v>
      </c>
      <c r="I40" s="7" t="e">
        <f t="shared" si="6"/>
        <v>#N/A</v>
      </c>
    </row>
    <row r="41" spans="1:9" x14ac:dyDescent="0.35">
      <c r="A41" s="7">
        <v>9.5</v>
      </c>
      <c r="B41" s="7">
        <f t="shared" si="7"/>
        <v>1.25</v>
      </c>
      <c r="C41" s="7">
        <f t="shared" si="0"/>
        <v>62.5</v>
      </c>
      <c r="D41" s="8">
        <f t="shared" si="2"/>
        <v>82.5</v>
      </c>
      <c r="E41" s="7">
        <f t="shared" si="3"/>
        <v>325</v>
      </c>
      <c r="F41" s="7">
        <f t="shared" si="4"/>
        <v>0</v>
      </c>
      <c r="G41" s="7">
        <f t="shared" si="8"/>
        <v>0</v>
      </c>
      <c r="H41" s="7" t="e">
        <f t="shared" si="5"/>
        <v>#N/A</v>
      </c>
      <c r="I41" s="7" t="e">
        <f t="shared" si="6"/>
        <v>#N/A</v>
      </c>
    </row>
    <row r="42" spans="1:9" x14ac:dyDescent="0.35">
      <c r="A42" s="7">
        <v>9.75</v>
      </c>
      <c r="B42" s="7">
        <f t="shared" si="7"/>
        <v>1.5</v>
      </c>
      <c r="C42" s="7">
        <f t="shared" si="0"/>
        <v>75</v>
      </c>
      <c r="D42" s="8">
        <f t="shared" si="2"/>
        <v>75</v>
      </c>
      <c r="E42" s="7">
        <f t="shared" si="3"/>
        <v>337.5</v>
      </c>
      <c r="F42" s="7">
        <f t="shared" si="4"/>
        <v>0</v>
      </c>
      <c r="G42" s="7">
        <f t="shared" si="8"/>
        <v>0</v>
      </c>
      <c r="H42" s="7" t="e">
        <f t="shared" si="5"/>
        <v>#N/A</v>
      </c>
      <c r="I42" s="7" t="e">
        <f t="shared" si="6"/>
        <v>#N/A</v>
      </c>
    </row>
    <row r="43" spans="1:9" x14ac:dyDescent="0.35">
      <c r="A43" s="7">
        <v>10</v>
      </c>
      <c r="B43" s="7">
        <f t="shared" si="7"/>
        <v>1.75</v>
      </c>
      <c r="C43" s="7">
        <f t="shared" si="0"/>
        <v>87.5</v>
      </c>
      <c r="D43" s="8">
        <f t="shared" si="2"/>
        <v>92.5</v>
      </c>
      <c r="E43" s="7">
        <f t="shared" si="3"/>
        <v>350</v>
      </c>
      <c r="F43" s="7">
        <f t="shared" si="4"/>
        <v>0</v>
      </c>
      <c r="G43" s="7">
        <f t="shared" si="8"/>
        <v>0</v>
      </c>
      <c r="H43" s="7" t="e">
        <f t="shared" si="5"/>
        <v>#N/A</v>
      </c>
      <c r="I43" s="7" t="e">
        <f t="shared" si="6"/>
        <v>#N/A</v>
      </c>
    </row>
  </sheetData>
  <sheetProtection algorithmName="SHA-512" hashValue="WevaGaQSbOQp3TI82pbDfHgfDKGAaCOZhBIBEcH0DPvJkXCb2LEY06QhExp/+abPavD4hWX3Yz2GBwboODh1tA==" saltValue="De5ljFkn1lAx9L4l6v7tBQ==" spinCount="100000" sheet="1" objects="1" scenarios="1"/>
  <mergeCells count="2">
    <mergeCell ref="K1:AA3"/>
    <mergeCell ref="K10:P10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4E6D5-C894-4372-A5E1-43AA53289689}">
  <sheetPr codeName="Hoja6">
    <tabColor rgb="FFFF6161"/>
  </sheetPr>
  <dimension ref="A1:S27"/>
  <sheetViews>
    <sheetView showGridLines="0" tabSelected="1" topLeftCell="A16" zoomScale="85" zoomScaleNormal="85" workbookViewId="0">
      <selection activeCell="I35" sqref="I35"/>
    </sheetView>
  </sheetViews>
  <sheetFormatPr baseColWidth="10" defaultRowHeight="14.5" x14ac:dyDescent="0.35"/>
  <cols>
    <col min="1" max="1" width="10.90625" style="57"/>
    <col min="2" max="2" width="16.453125" style="57" customWidth="1"/>
    <col min="3" max="3" width="20.26953125" style="57" bestFit="1" customWidth="1"/>
    <col min="4" max="5" width="10.90625" style="57"/>
    <col min="6" max="6" width="13.1796875" style="57" bestFit="1" customWidth="1"/>
    <col min="7" max="11" width="10.90625" style="57"/>
    <col min="12" max="12" width="19.36328125" style="57" bestFit="1" customWidth="1"/>
    <col min="13" max="13" width="11.26953125" style="57" bestFit="1" customWidth="1"/>
    <col min="14" max="16384" width="10.90625" style="57"/>
  </cols>
  <sheetData>
    <row r="1" spans="1:19" s="81" customFormat="1" x14ac:dyDescent="0.35">
      <c r="B1" s="179" t="s">
        <v>57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</row>
    <row r="2" spans="1:19" s="81" customFormat="1" x14ac:dyDescent="0.35">
      <c r="B2" s="182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4"/>
    </row>
    <row r="3" spans="1:19" s="81" customFormat="1" ht="39.75" customHeight="1" thickBot="1" x14ac:dyDescent="0.4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7"/>
    </row>
    <row r="5" spans="1:19" ht="15" thickBot="1" x14ac:dyDescent="0.4"/>
    <row r="6" spans="1:19" s="72" customFormat="1" ht="15" thickBot="1" x14ac:dyDescent="0.4">
      <c r="B6" s="73" t="s">
        <v>49</v>
      </c>
      <c r="C6" s="89"/>
      <c r="D6" s="89"/>
      <c r="E6" s="90"/>
      <c r="F6" s="90"/>
      <c r="G6" s="90"/>
      <c r="H6" s="91"/>
      <c r="I6" s="92"/>
    </row>
    <row r="7" spans="1:19" s="72" customFormat="1" ht="15" thickBot="1" x14ac:dyDescent="0.4">
      <c r="B7" s="85" t="s">
        <v>103</v>
      </c>
      <c r="C7" s="86"/>
      <c r="D7" s="86"/>
      <c r="E7" s="86"/>
      <c r="F7" s="86"/>
      <c r="G7" s="86"/>
      <c r="H7" s="87"/>
      <c r="I7" s="88"/>
      <c r="L7" s="84" t="s">
        <v>74</v>
      </c>
      <c r="M7" s="82" t="s">
        <v>42</v>
      </c>
    </row>
    <row r="8" spans="1:19" x14ac:dyDescent="0.35">
      <c r="L8" s="84" t="s">
        <v>64</v>
      </c>
      <c r="M8" s="93">
        <f>IF($M$7="Urbà",Urbà!$J$12,IF(Emissions!$M$7="Interurbà",Interurbà!$J$12,""))</f>
        <v>50000</v>
      </c>
    </row>
    <row r="9" spans="1:19" x14ac:dyDescent="0.35">
      <c r="B9" s="55"/>
      <c r="C9" s="188" t="s">
        <v>60</v>
      </c>
      <c r="D9" s="188"/>
      <c r="E9" s="188"/>
      <c r="F9" s="188"/>
      <c r="G9" s="188"/>
    </row>
    <row r="10" spans="1:19" x14ac:dyDescent="0.35">
      <c r="B10" s="84" t="s">
        <v>58</v>
      </c>
      <c r="C10" s="78" t="s">
        <v>61</v>
      </c>
      <c r="D10" s="78" t="s">
        <v>3</v>
      </c>
      <c r="E10" s="78" t="s">
        <v>4</v>
      </c>
      <c r="F10" s="78" t="s">
        <v>5</v>
      </c>
      <c r="G10" s="78" t="s">
        <v>6</v>
      </c>
    </row>
    <row r="11" spans="1:19" x14ac:dyDescent="0.35">
      <c r="A11" s="189" t="s">
        <v>59</v>
      </c>
      <c r="B11" s="84" t="s">
        <v>65</v>
      </c>
      <c r="C11" s="78">
        <v>245.65</v>
      </c>
      <c r="D11" s="78">
        <v>0</v>
      </c>
      <c r="E11" s="78">
        <v>235</v>
      </c>
      <c r="F11" s="83"/>
      <c r="G11" s="78">
        <v>0</v>
      </c>
      <c r="M11" s="190" t="s">
        <v>63</v>
      </c>
      <c r="N11" s="190"/>
      <c r="O11" s="190"/>
      <c r="P11" s="190"/>
      <c r="Q11" s="190"/>
    </row>
    <row r="12" spans="1:19" x14ac:dyDescent="0.35">
      <c r="A12" s="189"/>
      <c r="B12" s="84" t="s">
        <v>67</v>
      </c>
      <c r="C12" s="78">
        <v>0.48</v>
      </c>
      <c r="D12" s="78">
        <v>0</v>
      </c>
      <c r="E12" s="78">
        <v>1.4E-2</v>
      </c>
      <c r="F12" s="83"/>
      <c r="G12" s="78">
        <v>0</v>
      </c>
      <c r="L12" s="84" t="s">
        <v>58</v>
      </c>
      <c r="M12" s="84" t="s">
        <v>61</v>
      </c>
      <c r="N12" s="84" t="s">
        <v>3</v>
      </c>
      <c r="O12" s="84" t="s">
        <v>4</v>
      </c>
      <c r="P12" s="84" t="s">
        <v>5</v>
      </c>
      <c r="Q12" s="84" t="s">
        <v>6</v>
      </c>
    </row>
    <row r="13" spans="1:19" x14ac:dyDescent="0.35">
      <c r="A13" s="189"/>
      <c r="B13" s="84" t="s">
        <v>66</v>
      </c>
      <c r="C13" s="78">
        <v>2.1000000000000001E-2</v>
      </c>
      <c r="D13" s="78">
        <v>0.02</v>
      </c>
      <c r="E13" s="78">
        <v>2.1999999999999999E-2</v>
      </c>
      <c r="F13" s="83"/>
      <c r="G13" s="78">
        <v>0.02</v>
      </c>
      <c r="K13" s="189" t="s">
        <v>59</v>
      </c>
      <c r="L13" s="84" t="s">
        <v>68</v>
      </c>
      <c r="M13" s="84">
        <f>IF($M$11=$C$9,C11*$M$8/1000,IF($M$11=$C$16,C18*$M$8/1000,IF($M$11=$C$23,C25*$M$8/1000," ")))</f>
        <v>28204.000000000004</v>
      </c>
      <c r="N13" s="84">
        <f t="shared" ref="N13:Q13" si="0">IF($M$11=$C$9,D11*$M$8/1000,IF($M$11=$C$16,D18*$M$8/1000,IF($M$11=$C$23,D25*$M$8/1000," ")))</f>
        <v>0</v>
      </c>
      <c r="O13" s="84">
        <f t="shared" si="0"/>
        <v>0</v>
      </c>
      <c r="P13" s="84">
        <f t="shared" si="0"/>
        <v>0</v>
      </c>
      <c r="Q13" s="84">
        <f t="shared" si="0"/>
        <v>0</v>
      </c>
    </row>
    <row r="14" spans="1:19" x14ac:dyDescent="0.35">
      <c r="K14" s="189"/>
      <c r="L14" s="84" t="s">
        <v>69</v>
      </c>
      <c r="M14" s="84">
        <f t="shared" ref="M14:M15" si="1">IF($M$11=$C$9,C12*$M$8/1000,IF($M$11=$C$16,C19*$M$8/1000,IF($M$11=$C$23,C26*$M$8/1000," ")))</f>
        <v>6.1449999999999996</v>
      </c>
      <c r="N14" s="84">
        <f t="shared" ref="N14:N15" si="2">IF($M$11=$C$9,D12*$M$8/1000,IF($M$11=$C$16,D19*$M$8/1000,IF($M$11=$C$23,D26*$M$8/1000," ")))</f>
        <v>0</v>
      </c>
      <c r="O14" s="84">
        <f t="shared" ref="O14:O15" si="3">IF($M$11=$C$9,E12*$M$8/1000,IF($M$11=$C$16,E19*$M$8/1000,IF($M$11=$C$23,E26*$M$8/1000," ")))</f>
        <v>0</v>
      </c>
      <c r="P14" s="84">
        <f t="shared" ref="P14:P15" si="4">IF($M$11=$C$9,F12*$M$8/1000,IF($M$11=$C$16,F19*$M$8/1000,IF($M$11=$C$23,F26*$M$8/1000," ")))</f>
        <v>0</v>
      </c>
      <c r="Q14" s="84">
        <f t="shared" ref="Q14:Q15" si="5">IF($M$11=$C$9,G12*$M$8/1000,IF($M$11=$C$16,G19*$M$8/1000,IF($M$11=$C$23,G26*$M$8/1000," ")))</f>
        <v>0</v>
      </c>
    </row>
    <row r="15" spans="1:19" x14ac:dyDescent="0.35">
      <c r="K15" s="189"/>
      <c r="L15" s="84" t="s">
        <v>70</v>
      </c>
      <c r="M15" s="84">
        <f t="shared" si="1"/>
        <v>4.2249999999999996</v>
      </c>
      <c r="N15" s="84">
        <f t="shared" si="2"/>
        <v>4.0650000000000004</v>
      </c>
      <c r="O15" s="84">
        <f t="shared" si="3"/>
        <v>0</v>
      </c>
      <c r="P15" s="84">
        <f t="shared" si="4"/>
        <v>0</v>
      </c>
      <c r="Q15" s="84">
        <f t="shared" si="5"/>
        <v>4.0650000000000004</v>
      </c>
    </row>
    <row r="16" spans="1:19" x14ac:dyDescent="0.35">
      <c r="B16" s="55"/>
      <c r="C16" s="188" t="s">
        <v>62</v>
      </c>
      <c r="D16" s="188"/>
      <c r="E16" s="188"/>
      <c r="F16" s="188"/>
      <c r="G16" s="188"/>
    </row>
    <row r="17" spans="1:7" x14ac:dyDescent="0.35">
      <c r="B17" s="84" t="s">
        <v>58</v>
      </c>
      <c r="C17" s="78" t="s">
        <v>61</v>
      </c>
      <c r="D17" s="78" t="s">
        <v>3</v>
      </c>
      <c r="E17" s="78" t="s">
        <v>4</v>
      </c>
      <c r="F17" s="78" t="s">
        <v>5</v>
      </c>
      <c r="G17" s="78" t="s">
        <v>6</v>
      </c>
    </row>
    <row r="18" spans="1:7" x14ac:dyDescent="0.35">
      <c r="A18" s="189" t="s">
        <v>59</v>
      </c>
      <c r="B18" s="84" t="s">
        <v>65</v>
      </c>
      <c r="C18" s="78">
        <v>407.6</v>
      </c>
      <c r="D18" s="78">
        <v>0</v>
      </c>
      <c r="E18" s="83"/>
      <c r="F18" s="83"/>
      <c r="G18" s="78">
        <v>0</v>
      </c>
    </row>
    <row r="19" spans="1:7" x14ac:dyDescent="0.35">
      <c r="A19" s="189"/>
      <c r="B19" s="84" t="s">
        <v>67</v>
      </c>
      <c r="C19" s="78">
        <v>9.8699999999999996E-2</v>
      </c>
      <c r="D19" s="78">
        <v>0</v>
      </c>
      <c r="E19" s="83"/>
      <c r="F19" s="83"/>
      <c r="G19" s="78">
        <v>0</v>
      </c>
    </row>
    <row r="20" spans="1:7" x14ac:dyDescent="0.35">
      <c r="A20" s="189"/>
      <c r="B20" s="84" t="s">
        <v>66</v>
      </c>
      <c r="C20" s="78">
        <v>6.9199999999999998E-2</v>
      </c>
      <c r="D20" s="78">
        <v>6.6600000000000006E-2</v>
      </c>
      <c r="E20" s="83"/>
      <c r="F20" s="83"/>
      <c r="G20" s="78">
        <v>6.6600000000000006E-2</v>
      </c>
    </row>
    <row r="23" spans="1:7" x14ac:dyDescent="0.35">
      <c r="C23" s="188" t="s">
        <v>63</v>
      </c>
      <c r="D23" s="188"/>
      <c r="E23" s="188"/>
      <c r="F23" s="188"/>
      <c r="G23" s="188"/>
    </row>
    <row r="24" spans="1:7" x14ac:dyDescent="0.35">
      <c r="B24" s="84" t="s">
        <v>58</v>
      </c>
      <c r="C24" s="78" t="s">
        <v>61</v>
      </c>
      <c r="D24" s="78" t="s">
        <v>3</v>
      </c>
      <c r="E24" s="78" t="s">
        <v>4</v>
      </c>
      <c r="F24" s="78" t="s">
        <v>5</v>
      </c>
      <c r="G24" s="78" t="s">
        <v>6</v>
      </c>
    </row>
    <row r="25" spans="1:7" x14ac:dyDescent="0.35">
      <c r="A25" s="189" t="s">
        <v>59</v>
      </c>
      <c r="B25" s="84" t="s">
        <v>65</v>
      </c>
      <c r="C25" s="78">
        <v>564.08000000000004</v>
      </c>
      <c r="D25" s="78">
        <v>0</v>
      </c>
      <c r="E25" s="83"/>
      <c r="F25" s="83"/>
      <c r="G25" s="78">
        <v>0</v>
      </c>
    </row>
    <row r="26" spans="1:7" x14ac:dyDescent="0.35">
      <c r="A26" s="189"/>
      <c r="B26" s="84" t="s">
        <v>67</v>
      </c>
      <c r="C26" s="78">
        <v>0.1229</v>
      </c>
      <c r="D26" s="78">
        <v>0</v>
      </c>
      <c r="E26" s="83"/>
      <c r="F26" s="83"/>
      <c r="G26" s="78">
        <v>0</v>
      </c>
    </row>
    <row r="27" spans="1:7" x14ac:dyDescent="0.35">
      <c r="A27" s="189"/>
      <c r="B27" s="84" t="s">
        <v>66</v>
      </c>
      <c r="C27" s="78">
        <v>8.4500000000000006E-2</v>
      </c>
      <c r="D27" s="78">
        <v>8.1299999999999997E-2</v>
      </c>
      <c r="E27" s="83"/>
      <c r="F27" s="83"/>
      <c r="G27" s="78">
        <v>8.1299999999999997E-2</v>
      </c>
    </row>
  </sheetData>
  <sheetProtection algorithmName="SHA-512" hashValue="G3EdcfKjgJO4DVL+q7ulDvSjcmDMnWQFM1Byf6s8d9RAKs97JVC4NvXWFg6MlceERfUbLTYuNqY1sLhx/WPfKA==" saltValue="p0LTBl31FtUckEl0dn/C/g==" spinCount="100000" sheet="1" objects="1" scenarios="1"/>
  <mergeCells count="9">
    <mergeCell ref="B1:S3"/>
    <mergeCell ref="C23:G23"/>
    <mergeCell ref="A25:A27"/>
    <mergeCell ref="M11:Q11"/>
    <mergeCell ref="K13:K15"/>
    <mergeCell ref="C9:G9"/>
    <mergeCell ref="A11:A13"/>
    <mergeCell ref="C16:G16"/>
    <mergeCell ref="A18:A20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6D45441-1DC0-4A04-959E-56E1F648C1C9}">
          <x14:formula1>
            <xm:f>Vectors!$B$53:$B$55</xm:f>
          </x14:formula1>
          <xm:sqref>M11:Q11</xm:sqref>
        </x14:dataValidation>
        <x14:dataValidation type="list" allowBlank="1" showInputMessage="1" showErrorMessage="1" xr:uid="{DDE34692-6167-459F-9DD1-0B553A19CC42}">
          <x14:formula1>
            <xm:f>Vectors!$C$53:$C$54</xm:f>
          </x14:formula1>
          <xm:sqref>M7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D18DD-F8A5-4F26-96A8-B7E9FB042789}">
  <sheetPr codeName="Hoja7">
    <tabColor theme="0" tint="-0.34998626667073579"/>
  </sheetPr>
  <dimension ref="B1:R16"/>
  <sheetViews>
    <sheetView showGridLines="0" workbookViewId="0">
      <selection activeCell="B5" sqref="B5"/>
    </sheetView>
  </sheetViews>
  <sheetFormatPr baseColWidth="10" defaultRowHeight="14.5" x14ac:dyDescent="0.35"/>
  <cols>
    <col min="3" max="3" width="13.26953125" customWidth="1"/>
    <col min="4" max="4" width="17.6328125" customWidth="1"/>
    <col min="5" max="5" width="17" customWidth="1"/>
    <col min="6" max="6" width="17.26953125" customWidth="1"/>
    <col min="7" max="7" width="17.36328125" customWidth="1"/>
    <col min="8" max="8" width="16.90625" customWidth="1"/>
    <col min="14" max="14" width="5.1796875" customWidth="1"/>
  </cols>
  <sheetData>
    <row r="1" spans="2:18" s="10" customFormat="1" x14ac:dyDescent="0.35">
      <c r="B1" s="94" t="s">
        <v>57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6"/>
    </row>
    <row r="2" spans="2:18" s="10" customFormat="1" x14ac:dyDescent="0.35"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9"/>
    </row>
    <row r="3" spans="2:18" s="10" customFormat="1" ht="39.75" customHeight="1" thickBot="1" x14ac:dyDescent="0.4">
      <c r="B3" s="100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2"/>
    </row>
    <row r="5" spans="2:18" x14ac:dyDescent="0.35">
      <c r="B5" s="204" t="s">
        <v>102</v>
      </c>
    </row>
    <row r="6" spans="2:18" ht="15" thickBot="1" x14ac:dyDescent="0.4"/>
    <row r="7" spans="2:18" x14ac:dyDescent="0.35">
      <c r="B7" s="41" t="s">
        <v>71</v>
      </c>
      <c r="C7" s="42" t="s">
        <v>2</v>
      </c>
      <c r="D7" s="42" t="s">
        <v>4</v>
      </c>
      <c r="E7" s="42" t="s">
        <v>3</v>
      </c>
      <c r="F7" s="42" t="s">
        <v>76</v>
      </c>
      <c r="G7" s="43" t="s">
        <v>6</v>
      </c>
    </row>
    <row r="8" spans="2:18" ht="21" x14ac:dyDescent="0.35">
      <c r="B8" s="200" t="s">
        <v>77</v>
      </c>
      <c r="C8" s="44" t="s">
        <v>78</v>
      </c>
      <c r="D8" s="201" t="s">
        <v>78</v>
      </c>
      <c r="E8" s="44" t="s">
        <v>80</v>
      </c>
      <c r="F8" s="201" t="s">
        <v>80</v>
      </c>
      <c r="G8" s="193" t="s">
        <v>81</v>
      </c>
    </row>
    <row r="9" spans="2:18" ht="21.5" thickBot="1" x14ac:dyDescent="0.4">
      <c r="B9" s="199"/>
      <c r="C9" s="45" t="s">
        <v>79</v>
      </c>
      <c r="D9" s="202"/>
      <c r="E9" s="45" t="s">
        <v>81</v>
      </c>
      <c r="F9" s="202"/>
      <c r="G9" s="192"/>
    </row>
    <row r="10" spans="2:18" ht="21" customHeight="1" x14ac:dyDescent="0.35">
      <c r="B10" s="197" t="s">
        <v>82</v>
      </c>
      <c r="C10" s="44" t="s">
        <v>83</v>
      </c>
      <c r="D10" s="194" t="s">
        <v>85</v>
      </c>
      <c r="E10" s="44" t="s">
        <v>86</v>
      </c>
      <c r="F10" s="194" t="s">
        <v>86</v>
      </c>
      <c r="G10" s="44" t="s">
        <v>87</v>
      </c>
    </row>
    <row r="11" spans="2:18" ht="15" thickBot="1" x14ac:dyDescent="0.4">
      <c r="B11" s="199"/>
      <c r="C11" s="45" t="s">
        <v>84</v>
      </c>
      <c r="D11" s="195"/>
      <c r="E11" s="45" t="s">
        <v>87</v>
      </c>
      <c r="F11" s="195"/>
      <c r="G11" s="45" t="s">
        <v>88</v>
      </c>
    </row>
    <row r="12" spans="2:18" ht="21" customHeight="1" x14ac:dyDescent="0.35">
      <c r="B12" s="197" t="s">
        <v>89</v>
      </c>
      <c r="C12" s="44" t="s">
        <v>90</v>
      </c>
      <c r="D12" s="203" t="s">
        <v>92</v>
      </c>
      <c r="E12" s="194" t="s">
        <v>93</v>
      </c>
      <c r="F12" s="47"/>
      <c r="G12" s="191" t="s">
        <v>93</v>
      </c>
    </row>
    <row r="13" spans="2:18" ht="21.5" thickBot="1" x14ac:dyDescent="0.4">
      <c r="B13" s="199"/>
      <c r="C13" s="45" t="s">
        <v>91</v>
      </c>
      <c r="D13" s="202"/>
      <c r="E13" s="195"/>
      <c r="F13" s="45"/>
      <c r="G13" s="192"/>
    </row>
    <row r="14" spans="2:18" ht="21" x14ac:dyDescent="0.35">
      <c r="B14" s="197" t="s">
        <v>94</v>
      </c>
      <c r="C14" s="47"/>
      <c r="D14" s="44" t="s">
        <v>95</v>
      </c>
      <c r="E14" s="44" t="s">
        <v>96</v>
      </c>
      <c r="F14" s="194" t="s">
        <v>99</v>
      </c>
      <c r="G14" s="44" t="s">
        <v>96</v>
      </c>
    </row>
    <row r="15" spans="2:18" ht="21" x14ac:dyDescent="0.35">
      <c r="B15" s="198"/>
      <c r="C15" s="49"/>
      <c r="D15" s="44" t="s">
        <v>96</v>
      </c>
      <c r="E15" s="44" t="s">
        <v>97</v>
      </c>
      <c r="F15" s="196"/>
      <c r="G15" s="44" t="s">
        <v>100</v>
      </c>
    </row>
    <row r="16" spans="2:18" ht="21.5" thickBot="1" x14ac:dyDescent="0.4">
      <c r="B16" s="199"/>
      <c r="C16" s="45"/>
      <c r="D16" s="46"/>
      <c r="E16" s="45" t="s">
        <v>98</v>
      </c>
      <c r="F16" s="195"/>
      <c r="G16" s="48" t="s">
        <v>101</v>
      </c>
    </row>
  </sheetData>
  <sheetProtection algorithmName="SHA-512" hashValue="+QdKoYDZXMdzhueDsTp6QL8nVawDLHpo/TBWxKH6OUllCMkngHfOEdFF7gXRt3p2Kd3eCR+6OnLdhGTXUqaDcg==" saltValue="ASEL2qQiR1fY0GmBTPBdSg==" spinCount="100000" sheet="1" objects="1" scenarios="1"/>
  <mergeCells count="14">
    <mergeCell ref="G12:G13"/>
    <mergeCell ref="G8:G9"/>
    <mergeCell ref="E12:E13"/>
    <mergeCell ref="B1:R3"/>
    <mergeCell ref="F14:F16"/>
    <mergeCell ref="B14:B16"/>
    <mergeCell ref="B12:B13"/>
    <mergeCell ref="B8:B9"/>
    <mergeCell ref="B10:B11"/>
    <mergeCell ref="D8:D9"/>
    <mergeCell ref="F8:F9"/>
    <mergeCell ref="D10:D11"/>
    <mergeCell ref="F10:F11"/>
    <mergeCell ref="D12:D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Instruccions</vt:lpstr>
      <vt:lpstr>Urbà</vt:lpstr>
      <vt:lpstr>Interurbà</vt:lpstr>
      <vt:lpstr>Produccio diària</vt:lpstr>
      <vt:lpstr>Emissions</vt:lpstr>
      <vt:lpstr>DAFO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2020-12-14T09:55:50Z</dcterms:modified>
</cp:coreProperties>
</file>